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255" windowWidth="28860" windowHeight="6435" activeTab="1"/>
  </bookViews>
  <sheets>
    <sheet name="経営収支" sheetId="7" r:id="rId1"/>
    <sheet name="作業体系表" sheetId="5" r:id="rId2"/>
    <sheet name="Z-BFM" sheetId="19" r:id="rId3"/>
    <sheet name="資本装備" sheetId="22" state="hidden" r:id="rId4"/>
    <sheet name="①技術体系" sheetId="1" r:id="rId5"/>
    <sheet name="作目一覧" sheetId="23" state="hidden" r:id="rId6"/>
    <sheet name="②償却資産" sheetId="2" r:id="rId7"/>
    <sheet name="③労働時間" sheetId="3" r:id="rId8"/>
    <sheet name="④収入" sheetId="21" r:id="rId9"/>
    <sheet name="⑤支出" sheetId="4" r:id="rId10"/>
    <sheet name="科目設定" sheetId="11" r:id="rId11"/>
    <sheet name="説明書" sheetId="20" r:id="rId12"/>
  </sheets>
  <externalReferences>
    <externalReference r:id="rId13"/>
    <externalReference r:id="rId14"/>
  </externalReferences>
  <definedNames>
    <definedName name="_xlnm._FilterDatabase" localSheetId="9" hidden="1">⑤支出!$A$2:$W$176</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4">①技術体系!$A$1:$E$25</definedName>
    <definedName name="_xlnm.Print_Area" localSheetId="8">④収入!$A$2:$H$21</definedName>
    <definedName name="_xlnm.Print_Area" localSheetId="9">⑤支出!$B$1:$W$175</definedName>
    <definedName name="_xlnm.Print_Area" localSheetId="10">科目設定!$A$1:$W$38</definedName>
    <definedName name="_xlnm.Print_Titles" localSheetId="4">①技術体系!$1:$5</definedName>
    <definedName name="_xlnm.Print_Titles" localSheetId="7">③労働時間!$1:$4</definedName>
    <definedName name="_xlnm.Print_Titles" localSheetId="9">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②償却資産!$B$20:$B$33</definedName>
    <definedName name="機械能力">②償却資産!$D$20:$D$33</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'[2]算出根基２（労働時間他）'!$T$5:$T$42</definedName>
    <definedName name="作業機械・規格">'[2]算出根基３（減価償却費等）'!$D$14:$D$25</definedName>
    <definedName name="作業名">①技術体系!$A$6:$A$25</definedName>
    <definedName name="作業名_4" localSheetId="2">#REF!</definedName>
    <definedName name="作業名_4">#REF!</definedName>
    <definedName name="作業名_7" localSheetId="2">#REF!</definedName>
    <definedName name="作業名_7">#REF!</definedName>
    <definedName name="作業名2">[2]前提条件!$A$23:$A$49</definedName>
    <definedName name="種苗費">科目設定!$D$2:$D$5</definedName>
    <definedName name="諸材料費">科目設定!$H$2:$H$8</definedName>
    <definedName name="植付本数">科目設定!$Y$2:$Y$5</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45621"/>
</workbook>
</file>

<file path=xl/calcChain.xml><?xml version="1.0" encoding="utf-8"?>
<calcChain xmlns="http://schemas.openxmlformats.org/spreadsheetml/2006/main">
  <c r="C6" i="19" l="1"/>
  <c r="C69" i="4" l="1"/>
  <c r="C68" i="4" l="1"/>
  <c r="F19" i="21" l="1"/>
  <c r="AN35" i="5" l="1"/>
  <c r="AN36" i="5" l="1"/>
  <c r="D40" i="5" s="1"/>
  <c r="G22" i="7" l="1"/>
  <c r="V131" i="4" l="1"/>
  <c r="U131" i="4"/>
  <c r="T131" i="4"/>
  <c r="O131" i="4"/>
  <c r="J131" i="4"/>
  <c r="I131" i="4"/>
  <c r="J130" i="4"/>
  <c r="I130" i="4"/>
  <c r="V129" i="4"/>
  <c r="U129" i="4"/>
  <c r="T129" i="4"/>
  <c r="O129" i="4"/>
  <c r="J129" i="4"/>
  <c r="I129" i="4"/>
  <c r="V128" i="4"/>
  <c r="U128" i="4"/>
  <c r="T128" i="4"/>
  <c r="O128" i="4"/>
  <c r="V127" i="4"/>
  <c r="U127" i="4"/>
  <c r="T127" i="4"/>
  <c r="O127" i="4"/>
  <c r="R353" i="3"/>
  <c r="Q353" i="3"/>
  <c r="R352" i="3"/>
  <c r="Q352" i="3"/>
  <c r="R351" i="3"/>
  <c r="Q351" i="3"/>
  <c r="R350" i="3"/>
  <c r="Q350" i="3"/>
  <c r="R349" i="3"/>
  <c r="Q349" i="3"/>
  <c r="R348" i="3"/>
  <c r="Q348" i="3"/>
  <c r="R347" i="3"/>
  <c r="Q347" i="3"/>
  <c r="R346" i="3"/>
  <c r="Q346" i="3"/>
  <c r="R345" i="3"/>
  <c r="Q345" i="3"/>
  <c r="R344" i="3"/>
  <c r="Q344" i="3"/>
  <c r="R343" i="3"/>
  <c r="Q343" i="3"/>
  <c r="R342" i="3"/>
  <c r="Q342" i="3"/>
  <c r="R341" i="3"/>
  <c r="Q341" i="3"/>
  <c r="R340" i="3"/>
  <c r="Q340" i="3"/>
  <c r="R339" i="3"/>
  <c r="Q339" i="3"/>
  <c r="R338" i="3"/>
  <c r="Q338" i="3"/>
  <c r="R337" i="3"/>
  <c r="Q337" i="3"/>
  <c r="R336" i="3"/>
  <c r="Q336" i="3"/>
  <c r="R335" i="3"/>
  <c r="Q335" i="3"/>
  <c r="R334" i="3"/>
  <c r="Q334" i="3"/>
  <c r="R333" i="3"/>
  <c r="Q333" i="3"/>
  <c r="R332" i="3"/>
  <c r="Q332" i="3"/>
  <c r="R331" i="3"/>
  <c r="Q331" i="3"/>
  <c r="R330" i="3"/>
  <c r="Q330" i="3"/>
  <c r="R329" i="3"/>
  <c r="Q329" i="3"/>
  <c r="R328" i="3"/>
  <c r="Q328" i="3"/>
  <c r="R327" i="3"/>
  <c r="Q327" i="3"/>
  <c r="R326" i="3"/>
  <c r="Q326" i="3"/>
  <c r="R325" i="3"/>
  <c r="Q325" i="3"/>
  <c r="R324" i="3"/>
  <c r="Q324" i="3"/>
  <c r="R323" i="3"/>
  <c r="Q323" i="3"/>
  <c r="R322" i="3"/>
  <c r="Q322" i="3"/>
  <c r="R321" i="3"/>
  <c r="Q321" i="3"/>
  <c r="R320" i="3"/>
  <c r="Q320" i="3"/>
  <c r="R319" i="3"/>
  <c r="Q319" i="3"/>
  <c r="R318" i="3"/>
  <c r="Q318" i="3"/>
  <c r="R317" i="3"/>
  <c r="Q317" i="3"/>
  <c r="R316" i="3"/>
  <c r="Q316" i="3"/>
  <c r="R315" i="3"/>
  <c r="Q315" i="3"/>
  <c r="R314" i="3"/>
  <c r="Q314" i="3"/>
  <c r="R313" i="3"/>
  <c r="Q313" i="3"/>
  <c r="R312" i="3"/>
  <c r="Q312" i="3"/>
  <c r="R311" i="3"/>
  <c r="Q311" i="3"/>
  <c r="R310" i="3"/>
  <c r="Q310" i="3"/>
  <c r="R309" i="3"/>
  <c r="Q309" i="3"/>
  <c r="R308" i="3"/>
  <c r="Q308" i="3"/>
  <c r="R307" i="3"/>
  <c r="Q307" i="3"/>
  <c r="R306" i="3"/>
  <c r="Q306" i="3"/>
  <c r="R305" i="3"/>
  <c r="Q305" i="3"/>
  <c r="R304" i="3"/>
  <c r="Q304" i="3"/>
  <c r="R303" i="3"/>
  <c r="Q303" i="3"/>
  <c r="R302" i="3"/>
  <c r="Q302" i="3"/>
  <c r="R301" i="3"/>
  <c r="Q301" i="3"/>
  <c r="R300" i="3"/>
  <c r="Q300" i="3"/>
  <c r="R299" i="3"/>
  <c r="Q299" i="3"/>
  <c r="R298" i="3"/>
  <c r="Q298" i="3"/>
  <c r="R297" i="3"/>
  <c r="Q297" i="3"/>
  <c r="R296" i="3"/>
  <c r="Q296" i="3"/>
  <c r="R295" i="3"/>
  <c r="Q295" i="3"/>
  <c r="R294" i="3"/>
  <c r="Q294" i="3"/>
  <c r="R293" i="3"/>
  <c r="Q293" i="3"/>
  <c r="R292" i="3"/>
  <c r="Q292" i="3"/>
  <c r="R291" i="3"/>
  <c r="Q291" i="3"/>
  <c r="R290" i="3"/>
  <c r="Q290" i="3"/>
  <c r="R289" i="3"/>
  <c r="Q289" i="3"/>
  <c r="R288" i="3"/>
  <c r="Q288" i="3"/>
  <c r="R287" i="3"/>
  <c r="Q287" i="3"/>
  <c r="R286" i="3"/>
  <c r="Q286" i="3"/>
  <c r="R285" i="3"/>
  <c r="Q285" i="3"/>
  <c r="R284" i="3"/>
  <c r="Q284" i="3"/>
  <c r="R283" i="3"/>
  <c r="Q283" i="3"/>
  <c r="R282" i="3"/>
  <c r="Q282" i="3"/>
  <c r="R281" i="3"/>
  <c r="Q281" i="3"/>
  <c r="R280" i="3"/>
  <c r="Q280" i="3"/>
  <c r="R279" i="3"/>
  <c r="Q279" i="3"/>
  <c r="R278" i="3"/>
  <c r="Q278" i="3"/>
  <c r="R277" i="3"/>
  <c r="Q277" i="3"/>
  <c r="R276" i="3"/>
  <c r="Q276" i="3"/>
  <c r="R275" i="3"/>
  <c r="Q275" i="3"/>
  <c r="R274" i="3"/>
  <c r="Q274" i="3"/>
  <c r="R273" i="3"/>
  <c r="Q273" i="3"/>
  <c r="R272" i="3"/>
  <c r="Q272" i="3"/>
  <c r="R271" i="3"/>
  <c r="Q271" i="3"/>
  <c r="R270" i="3"/>
  <c r="Q270" i="3"/>
  <c r="R269" i="3"/>
  <c r="Q269" i="3"/>
  <c r="R268" i="3"/>
  <c r="Q268" i="3"/>
  <c r="R267" i="3"/>
  <c r="Q267" i="3"/>
  <c r="R266" i="3"/>
  <c r="Q266" i="3"/>
  <c r="R265" i="3"/>
  <c r="Q265" i="3"/>
  <c r="R264" i="3"/>
  <c r="Q264" i="3"/>
  <c r="R263" i="3"/>
  <c r="Q263" i="3"/>
  <c r="R262" i="3"/>
  <c r="Q262" i="3"/>
  <c r="R261" i="3"/>
  <c r="Q261" i="3"/>
  <c r="R260" i="3"/>
  <c r="Q260" i="3"/>
  <c r="R259" i="3"/>
  <c r="Q259" i="3"/>
  <c r="R258" i="3"/>
  <c r="Q258" i="3"/>
  <c r="R257" i="3"/>
  <c r="Q257" i="3"/>
  <c r="R256" i="3"/>
  <c r="Q256" i="3"/>
  <c r="R255" i="3"/>
  <c r="Q255" i="3"/>
  <c r="R254" i="3"/>
  <c r="Q254" i="3"/>
  <c r="R253" i="3"/>
  <c r="Q253" i="3"/>
  <c r="R252" i="3"/>
  <c r="Q252" i="3"/>
  <c r="R251" i="3"/>
  <c r="Q251" i="3"/>
  <c r="R250" i="3"/>
  <c r="Q250" i="3"/>
  <c r="R249" i="3"/>
  <c r="Q249" i="3"/>
  <c r="R248" i="3"/>
  <c r="Q248" i="3"/>
  <c r="R247" i="3"/>
  <c r="Q247" i="3"/>
  <c r="R246" i="3"/>
  <c r="Q246" i="3"/>
  <c r="R245" i="3"/>
  <c r="Q245" i="3"/>
  <c r="R244" i="3"/>
  <c r="Q244" i="3"/>
  <c r="R243" i="3"/>
  <c r="Q243" i="3"/>
  <c r="R242" i="3"/>
  <c r="Q242" i="3"/>
  <c r="R241" i="3"/>
  <c r="Q241" i="3"/>
  <c r="R240" i="3"/>
  <c r="Q240" i="3"/>
  <c r="R239" i="3"/>
  <c r="Q239" i="3"/>
  <c r="R238" i="3"/>
  <c r="Q238" i="3"/>
  <c r="R237" i="3"/>
  <c r="Q237" i="3"/>
  <c r="R236" i="3"/>
  <c r="Q236" i="3"/>
  <c r="R235" i="3"/>
  <c r="Q235" i="3"/>
  <c r="R234" i="3"/>
  <c r="Q234" i="3"/>
  <c r="R233" i="3"/>
  <c r="Q233" i="3"/>
  <c r="R232" i="3"/>
  <c r="Q232" i="3"/>
  <c r="R231" i="3"/>
  <c r="Q231" i="3"/>
  <c r="R230" i="3"/>
  <c r="Q230" i="3"/>
  <c r="R229" i="3"/>
  <c r="Q229" i="3"/>
  <c r="R228" i="3"/>
  <c r="Q228" i="3"/>
  <c r="R227" i="3"/>
  <c r="Q227" i="3"/>
  <c r="R226" i="3"/>
  <c r="Q226" i="3"/>
  <c r="R225" i="3"/>
  <c r="Q225" i="3"/>
  <c r="R224" i="3"/>
  <c r="Q224" i="3"/>
  <c r="R223" i="3"/>
  <c r="Q223" i="3"/>
  <c r="R222" i="3"/>
  <c r="Q222" i="3"/>
  <c r="R221" i="3"/>
  <c r="Q221" i="3"/>
  <c r="R220" i="3"/>
  <c r="Q220" i="3"/>
  <c r="R219" i="3"/>
  <c r="Q219" i="3"/>
  <c r="R218" i="3"/>
  <c r="Q218" i="3"/>
  <c r="R217" i="3"/>
  <c r="Q217" i="3"/>
  <c r="R216" i="3"/>
  <c r="Q216" i="3"/>
  <c r="R215" i="3"/>
  <c r="Q215" i="3"/>
  <c r="R214" i="3"/>
  <c r="Q214" i="3"/>
  <c r="R213" i="3"/>
  <c r="Q213" i="3"/>
  <c r="R212" i="3"/>
  <c r="Q212" i="3"/>
  <c r="R211" i="3"/>
  <c r="Q211" i="3"/>
  <c r="R210" i="3"/>
  <c r="Q210" i="3"/>
  <c r="R209" i="3"/>
  <c r="Q209" i="3"/>
  <c r="R208" i="3"/>
  <c r="Q208" i="3"/>
  <c r="R207" i="3"/>
  <c r="Q207" i="3"/>
  <c r="R206" i="3"/>
  <c r="Q206" i="3"/>
  <c r="R205" i="3"/>
  <c r="Q205" i="3"/>
  <c r="R204" i="3"/>
  <c r="Q204" i="3"/>
  <c r="R203" i="3"/>
  <c r="Q203" i="3"/>
  <c r="R202" i="3"/>
  <c r="Q202" i="3"/>
  <c r="R201" i="3"/>
  <c r="Q201" i="3"/>
  <c r="R200" i="3"/>
  <c r="Q200" i="3"/>
  <c r="R199" i="3"/>
  <c r="Q199" i="3"/>
  <c r="R198" i="3"/>
  <c r="Q198" i="3"/>
  <c r="R197" i="3"/>
  <c r="Q197" i="3"/>
  <c r="R196" i="3"/>
  <c r="Q196" i="3"/>
  <c r="R195" i="3"/>
  <c r="Q195" i="3"/>
  <c r="R194" i="3"/>
  <c r="Q194" i="3"/>
  <c r="R193" i="3"/>
  <c r="Q193" i="3"/>
  <c r="R192" i="3"/>
  <c r="Q192" i="3"/>
  <c r="R191" i="3"/>
  <c r="Q191" i="3"/>
  <c r="R190" i="3"/>
  <c r="Q190" i="3"/>
  <c r="R189" i="3"/>
  <c r="Q189" i="3"/>
  <c r="R188" i="3"/>
  <c r="Q188" i="3"/>
  <c r="R187" i="3"/>
  <c r="Q187" i="3"/>
  <c r="R186" i="3"/>
  <c r="Q186" i="3"/>
  <c r="R185" i="3"/>
  <c r="Q185" i="3"/>
  <c r="R184" i="3"/>
  <c r="Q184" i="3"/>
  <c r="R183" i="3"/>
  <c r="Q183" i="3"/>
  <c r="R182" i="3"/>
  <c r="Q182" i="3"/>
  <c r="R181" i="3"/>
  <c r="Q181" i="3"/>
  <c r="R180" i="3"/>
  <c r="Q180" i="3"/>
  <c r="R179" i="3"/>
  <c r="Q179" i="3"/>
  <c r="R178" i="3"/>
  <c r="Q178" i="3"/>
  <c r="R177" i="3"/>
  <c r="Q177" i="3"/>
  <c r="R176" i="3"/>
  <c r="Q176" i="3"/>
  <c r="R175" i="3"/>
  <c r="Q175" i="3"/>
  <c r="R174" i="3"/>
  <c r="Q174" i="3"/>
  <c r="R173" i="3"/>
  <c r="Q173" i="3"/>
  <c r="R172" i="3"/>
  <c r="Q172" i="3"/>
  <c r="R171" i="3"/>
  <c r="Q171" i="3"/>
  <c r="R170" i="3"/>
  <c r="Q170" i="3"/>
  <c r="R169" i="3"/>
  <c r="Q169" i="3"/>
  <c r="R168" i="3"/>
  <c r="Q168" i="3"/>
  <c r="R167" i="3"/>
  <c r="Q167" i="3"/>
  <c r="R166" i="3"/>
  <c r="Q166" i="3"/>
  <c r="R165" i="3"/>
  <c r="Q165" i="3"/>
  <c r="R164" i="3"/>
  <c r="Q164" i="3"/>
  <c r="R163" i="3"/>
  <c r="Q163" i="3"/>
  <c r="R162" i="3"/>
  <c r="Q162" i="3"/>
  <c r="R161" i="3"/>
  <c r="Q161" i="3"/>
  <c r="R160" i="3"/>
  <c r="Q160" i="3"/>
  <c r="R159" i="3"/>
  <c r="Q159" i="3"/>
  <c r="R158" i="3"/>
  <c r="Q158" i="3"/>
  <c r="R157" i="3"/>
  <c r="Q157" i="3"/>
  <c r="R156" i="3"/>
  <c r="Q156" i="3"/>
  <c r="R155" i="3"/>
  <c r="Q155" i="3"/>
  <c r="R154" i="3"/>
  <c r="Q154" i="3"/>
  <c r="R153" i="3"/>
  <c r="Q153" i="3"/>
  <c r="R152" i="3"/>
  <c r="Q152" i="3"/>
  <c r="R151" i="3"/>
  <c r="Q151" i="3"/>
  <c r="R150" i="3"/>
  <c r="Q150" i="3"/>
  <c r="R149" i="3"/>
  <c r="Q149" i="3"/>
  <c r="R148" i="3"/>
  <c r="Q148" i="3"/>
  <c r="R147" i="3"/>
  <c r="Q147" i="3"/>
  <c r="R146" i="3"/>
  <c r="Q146" i="3"/>
  <c r="R145" i="3"/>
  <c r="Q145" i="3"/>
  <c r="R144" i="3"/>
  <c r="Q144" i="3"/>
  <c r="R143" i="3"/>
  <c r="Q143" i="3"/>
  <c r="R142" i="3"/>
  <c r="Q142" i="3"/>
  <c r="R141" i="3"/>
  <c r="Q141" i="3"/>
  <c r="R140" i="3"/>
  <c r="Q140" i="3"/>
  <c r="R139" i="3"/>
  <c r="Q139" i="3"/>
  <c r="R138" i="3"/>
  <c r="Q138" i="3"/>
  <c r="R137" i="3"/>
  <c r="Q137" i="3"/>
  <c r="R136" i="3"/>
  <c r="Q136" i="3"/>
  <c r="R135" i="3"/>
  <c r="Q135" i="3"/>
  <c r="R134" i="3"/>
  <c r="Q134" i="3"/>
  <c r="R133" i="3"/>
  <c r="Q133" i="3"/>
  <c r="R132" i="3"/>
  <c r="Q132" i="3"/>
  <c r="R131" i="3"/>
  <c r="Q131" i="3"/>
  <c r="R130" i="3"/>
  <c r="Q130" i="3"/>
  <c r="R129" i="3"/>
  <c r="Q129" i="3"/>
  <c r="R128" i="3"/>
  <c r="Q128" i="3"/>
  <c r="R127" i="3"/>
  <c r="Q127" i="3"/>
  <c r="R126" i="3"/>
  <c r="Q126" i="3"/>
  <c r="R125" i="3"/>
  <c r="Q125" i="3"/>
  <c r="R124" i="3"/>
  <c r="Q124" i="3"/>
  <c r="R123" i="3"/>
  <c r="Q123" i="3"/>
  <c r="R122" i="3"/>
  <c r="Q122" i="3"/>
  <c r="R121" i="3"/>
  <c r="Q121" i="3"/>
  <c r="R120" i="3"/>
  <c r="Q120" i="3"/>
  <c r="R119" i="3"/>
  <c r="Q119" i="3"/>
  <c r="R118" i="3"/>
  <c r="Q118" i="3"/>
  <c r="R117" i="3"/>
  <c r="Q117" i="3"/>
  <c r="R116" i="3"/>
  <c r="Q116" i="3"/>
  <c r="R115" i="3"/>
  <c r="Q115" i="3"/>
  <c r="R114" i="3"/>
  <c r="Q114" i="3"/>
  <c r="R113" i="3"/>
  <c r="Q113" i="3"/>
  <c r="R112" i="3"/>
  <c r="Q112" i="3"/>
  <c r="R111" i="3"/>
  <c r="Q111" i="3"/>
  <c r="R110" i="3"/>
  <c r="Q110" i="3"/>
  <c r="R109" i="3"/>
  <c r="Q109" i="3"/>
  <c r="R108" i="3"/>
  <c r="Q108" i="3"/>
  <c r="R107" i="3"/>
  <c r="Q107" i="3"/>
  <c r="R106" i="3"/>
  <c r="Q106" i="3"/>
  <c r="R105" i="3"/>
  <c r="Q105" i="3"/>
  <c r="R104" i="3"/>
  <c r="Q104" i="3"/>
  <c r="R103" i="3"/>
  <c r="Q103" i="3"/>
  <c r="R102" i="3"/>
  <c r="Q102" i="3"/>
  <c r="R101" i="3"/>
  <c r="Q101" i="3"/>
  <c r="R100" i="3"/>
  <c r="Q100" i="3"/>
  <c r="R99" i="3"/>
  <c r="Q99" i="3"/>
  <c r="R98" i="3"/>
  <c r="Q98" i="3"/>
  <c r="R97" i="3"/>
  <c r="Q97" i="3"/>
  <c r="R96" i="3"/>
  <c r="Q96" i="3"/>
  <c r="R95" i="3"/>
  <c r="Q95" i="3"/>
  <c r="R94" i="3"/>
  <c r="Q94" i="3"/>
  <c r="R93" i="3"/>
  <c r="Q93" i="3"/>
  <c r="R92" i="3"/>
  <c r="Q92" i="3"/>
  <c r="R91" i="3"/>
  <c r="Q91" i="3"/>
  <c r="R90" i="3"/>
  <c r="Q90" i="3"/>
  <c r="R89" i="3"/>
  <c r="Q89" i="3"/>
  <c r="R88" i="3"/>
  <c r="Q88" i="3"/>
  <c r="R87" i="3"/>
  <c r="Q87" i="3"/>
  <c r="R86" i="3"/>
  <c r="Q86" i="3"/>
  <c r="R85" i="3"/>
  <c r="Q85" i="3"/>
  <c r="R84" i="3"/>
  <c r="Q84" i="3"/>
  <c r="R83" i="3"/>
  <c r="Q83" i="3"/>
  <c r="R82" i="3"/>
  <c r="Q82" i="3"/>
  <c r="R81" i="3"/>
  <c r="Q81" i="3"/>
  <c r="R80" i="3"/>
  <c r="Q80" i="3"/>
  <c r="R79" i="3"/>
  <c r="Q79" i="3"/>
  <c r="R78" i="3"/>
  <c r="Q78" i="3"/>
  <c r="R77" i="3"/>
  <c r="Q77" i="3"/>
  <c r="R76" i="3"/>
  <c r="Q76" i="3"/>
  <c r="R75" i="3"/>
  <c r="Q75" i="3"/>
  <c r="R74" i="3"/>
  <c r="Q74" i="3"/>
  <c r="R73" i="3"/>
  <c r="Q73" i="3"/>
  <c r="R72" i="3"/>
  <c r="Q72" i="3"/>
  <c r="R71" i="3"/>
  <c r="Q71" i="3"/>
  <c r="R70" i="3"/>
  <c r="Q70" i="3"/>
  <c r="R69" i="3"/>
  <c r="Q69" i="3"/>
  <c r="R68" i="3"/>
  <c r="Q68" i="3"/>
  <c r="R67" i="3"/>
  <c r="Q67" i="3"/>
  <c r="R66" i="3"/>
  <c r="Q66" i="3"/>
  <c r="R65" i="3"/>
  <c r="Q65" i="3"/>
  <c r="R64" i="3"/>
  <c r="Q64" i="3"/>
  <c r="R63" i="3"/>
  <c r="Q63" i="3"/>
  <c r="R62" i="3"/>
  <c r="Q62" i="3"/>
  <c r="R61" i="3"/>
  <c r="Q61" i="3"/>
  <c r="R60" i="3"/>
  <c r="Q60" i="3"/>
  <c r="R59" i="3"/>
  <c r="Q59" i="3"/>
  <c r="R58" i="3"/>
  <c r="Q58" i="3"/>
  <c r="R57" i="3"/>
  <c r="Q57" i="3"/>
  <c r="R56" i="3"/>
  <c r="Q56" i="3"/>
  <c r="R55" i="3"/>
  <c r="Q55" i="3"/>
  <c r="R54" i="3"/>
  <c r="Q54" i="3"/>
  <c r="R53" i="3"/>
  <c r="Q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AH30" i="5" s="1"/>
  <c r="Q21" i="3"/>
  <c r="R20" i="3"/>
  <c r="Q20" i="3"/>
  <c r="R19" i="3"/>
  <c r="Q19" i="3"/>
  <c r="R18" i="3"/>
  <c r="Q18" i="3"/>
  <c r="R17" i="3"/>
  <c r="Q17" i="3"/>
  <c r="R16" i="3"/>
  <c r="Q16" i="3"/>
  <c r="R15" i="3"/>
  <c r="Q15" i="3"/>
  <c r="R14" i="3"/>
  <c r="Q14" i="3"/>
  <c r="R13" i="3"/>
  <c r="Q13" i="3"/>
  <c r="R12" i="3"/>
  <c r="Q12" i="3"/>
  <c r="R11" i="3"/>
  <c r="Q11" i="3"/>
  <c r="R10" i="3"/>
  <c r="Q10" i="3"/>
  <c r="R9" i="3"/>
  <c r="Q9" i="3"/>
  <c r="R8" i="3"/>
  <c r="Q8" i="3"/>
  <c r="R7" i="3"/>
  <c r="Q7" i="3"/>
  <c r="R6" i="3"/>
  <c r="Q6" i="3"/>
  <c r="R5" i="3"/>
  <c r="AK30" i="5" s="1"/>
  <c r="Q5" i="3"/>
  <c r="F30" i="5" l="1"/>
  <c r="AK29" i="5"/>
  <c r="N30" i="5"/>
  <c r="V30" i="5"/>
  <c r="AD30" i="5"/>
  <c r="AL30" i="5"/>
  <c r="J30" i="5"/>
  <c r="R30" i="5"/>
  <c r="Z30" i="5"/>
  <c r="F29" i="5"/>
  <c r="N29" i="5"/>
  <c r="V29" i="5"/>
  <c r="AD29" i="5"/>
  <c r="AL29" i="5"/>
  <c r="G29" i="5"/>
  <c r="O29" i="5"/>
  <c r="W29" i="5"/>
  <c r="AE29" i="5"/>
  <c r="AM29" i="5"/>
  <c r="K30" i="5"/>
  <c r="S30" i="5"/>
  <c r="AA30" i="5"/>
  <c r="AI30" i="5"/>
  <c r="D29" i="5"/>
  <c r="H29" i="5"/>
  <c r="L29" i="5"/>
  <c r="P29" i="5"/>
  <c r="T29" i="5"/>
  <c r="X29" i="5"/>
  <c r="AB29" i="5"/>
  <c r="AF29" i="5"/>
  <c r="AJ29" i="5"/>
  <c r="D30" i="5"/>
  <c r="H30" i="5"/>
  <c r="L30" i="5"/>
  <c r="P30" i="5"/>
  <c r="T30" i="5"/>
  <c r="X30" i="5"/>
  <c r="AB30" i="5"/>
  <c r="AF30" i="5"/>
  <c r="AJ30" i="5"/>
  <c r="J29" i="5"/>
  <c r="R29" i="5"/>
  <c r="Z29" i="5"/>
  <c r="AH29" i="5"/>
  <c r="K29" i="5"/>
  <c r="S29" i="5"/>
  <c r="AA29" i="5"/>
  <c r="AI29" i="5"/>
  <c r="G30" i="5"/>
  <c r="O30" i="5"/>
  <c r="W30" i="5"/>
  <c r="AE30" i="5"/>
  <c r="AM30" i="5"/>
  <c r="E29" i="5"/>
  <c r="I29" i="5"/>
  <c r="M29" i="5"/>
  <c r="Q29" i="5"/>
  <c r="U29" i="5"/>
  <c r="Y29" i="5"/>
  <c r="AC29" i="5"/>
  <c r="AG29" i="5"/>
  <c r="E30" i="5"/>
  <c r="I30" i="5"/>
  <c r="M30" i="5"/>
  <c r="Q30" i="5"/>
  <c r="U30" i="5"/>
  <c r="Y30" i="5"/>
  <c r="AC30" i="5"/>
  <c r="AG30" i="5"/>
  <c r="G28" i="7"/>
  <c r="J174" i="4"/>
  <c r="J173" i="4"/>
  <c r="J172" i="4"/>
  <c r="J171" i="4"/>
  <c r="J170" i="4"/>
  <c r="J169" i="4"/>
  <c r="J168" i="4"/>
  <c r="J167" i="4"/>
  <c r="J166" i="4"/>
  <c r="J165" i="4"/>
  <c r="J164" i="4"/>
  <c r="J162" i="4"/>
  <c r="J161" i="4"/>
  <c r="J160" i="4"/>
  <c r="J159" i="4"/>
  <c r="J157" i="4"/>
  <c r="J156" i="4"/>
  <c r="J155" i="4"/>
  <c r="J152" i="4"/>
  <c r="J151" i="4"/>
  <c r="J150" i="4"/>
  <c r="J147" i="4"/>
  <c r="J146" i="4"/>
  <c r="J145" i="4"/>
  <c r="J142" i="4"/>
  <c r="J141" i="4"/>
  <c r="J140" i="4"/>
  <c r="J139" i="4"/>
  <c r="J138" i="4"/>
  <c r="J137" i="4"/>
  <c r="J135" i="4"/>
  <c r="J134" i="4"/>
  <c r="J125" i="4"/>
  <c r="J124" i="4"/>
  <c r="J123" i="4"/>
  <c r="J122" i="4"/>
  <c r="J119" i="4"/>
  <c r="J118" i="4"/>
  <c r="J117" i="4"/>
  <c r="J116" i="4"/>
  <c r="J114" i="4"/>
  <c r="J113" i="4"/>
  <c r="J112" i="4"/>
  <c r="J111" i="4"/>
  <c r="J110" i="4"/>
  <c r="J109"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19" i="4"/>
  <c r="J18" i="4"/>
  <c r="J17" i="4"/>
  <c r="J16" i="4"/>
  <c r="J15" i="4"/>
  <c r="J14" i="4"/>
  <c r="J7" i="4"/>
  <c r="J6" i="4"/>
  <c r="J5" i="4"/>
  <c r="J4" i="4"/>
  <c r="I134" i="4" l="1"/>
  <c r="I135" i="4"/>
  <c r="I136" i="4"/>
  <c r="J136" i="4" s="1"/>
  <c r="I137" i="4"/>
  <c r="I138" i="4"/>
  <c r="I139" i="4"/>
  <c r="I140" i="4"/>
  <c r="I141" i="4"/>
  <c r="I142" i="4"/>
  <c r="I133" i="4"/>
  <c r="J133" i="4" s="1"/>
  <c r="D19" i="21"/>
  <c r="N23" i="2"/>
  <c r="O23" i="2" s="1"/>
  <c r="P23" i="2" s="1"/>
  <c r="Q23" i="2" s="1"/>
  <c r="K22" i="2"/>
  <c r="L22" i="2" s="1"/>
  <c r="K23" i="2"/>
  <c r="L23" i="2" s="1"/>
  <c r="K24" i="2"/>
  <c r="L24" i="2" s="1"/>
  <c r="K25" i="2"/>
  <c r="L25" i="2" s="1"/>
  <c r="K26" i="2"/>
  <c r="L26" i="2" s="1"/>
  <c r="K27" i="2"/>
  <c r="L27" i="2" s="1"/>
  <c r="K28" i="2"/>
  <c r="L28" i="2" s="1"/>
  <c r="K29" i="2"/>
  <c r="L29" i="2" s="1"/>
  <c r="K30" i="2"/>
  <c r="L30" i="2" s="1"/>
  <c r="K31" i="2"/>
  <c r="L31" i="2" s="1"/>
  <c r="I165" i="4"/>
  <c r="I166" i="4"/>
  <c r="I167" i="4"/>
  <c r="I168" i="4"/>
  <c r="I169" i="4"/>
  <c r="I170" i="4"/>
  <c r="I171" i="4"/>
  <c r="I172" i="4"/>
  <c r="I173" i="4"/>
  <c r="I174" i="4"/>
  <c r="I164" i="4"/>
  <c r="N29" i="2" l="1"/>
  <c r="O29" i="2" s="1"/>
  <c r="P29" i="2" s="1"/>
  <c r="Q29" i="2" s="1"/>
  <c r="N27" i="2"/>
  <c r="O27" i="2" s="1"/>
  <c r="P27" i="2" s="1"/>
  <c r="Q27" i="2" s="1"/>
  <c r="N25" i="2"/>
  <c r="O25" i="2" s="1"/>
  <c r="P25" i="2" s="1"/>
  <c r="Q25" i="2" s="1"/>
  <c r="N28" i="2"/>
  <c r="O28" i="2" s="1"/>
  <c r="P28" i="2" s="1"/>
  <c r="Q28" i="2" s="1"/>
  <c r="N24" i="2"/>
  <c r="O24" i="2" s="1"/>
  <c r="P24" i="2" s="1"/>
  <c r="Q24" i="2" s="1"/>
  <c r="N30" i="2"/>
  <c r="O30" i="2" s="1"/>
  <c r="P30" i="2" s="1"/>
  <c r="Q30" i="2" s="1"/>
  <c r="N26" i="2"/>
  <c r="O26" i="2" s="1"/>
  <c r="P26" i="2" s="1"/>
  <c r="Q26" i="2" s="1"/>
  <c r="N22" i="2"/>
  <c r="O22" i="2" s="1"/>
  <c r="P22" i="2" s="1"/>
  <c r="Q22" i="2" s="1"/>
  <c r="I162" i="4"/>
  <c r="I161" i="4"/>
  <c r="I160" i="4"/>
  <c r="I159" i="4"/>
  <c r="I157" i="4"/>
  <c r="I156" i="4"/>
  <c r="I155" i="4"/>
  <c r="I154" i="4"/>
  <c r="J154" i="4" s="1"/>
  <c r="I152" i="4"/>
  <c r="I151" i="4"/>
  <c r="I150" i="4"/>
  <c r="I149" i="4"/>
  <c r="J149" i="4" s="1"/>
  <c r="I147" i="4"/>
  <c r="I146" i="4"/>
  <c r="I145" i="4"/>
  <c r="I144" i="4"/>
  <c r="J144" i="4" s="1"/>
  <c r="I125" i="4"/>
  <c r="I124" i="4"/>
  <c r="I123" i="4"/>
  <c r="I122" i="4"/>
  <c r="I119" i="4"/>
  <c r="I118" i="4"/>
  <c r="I117" i="4"/>
  <c r="I116" i="4"/>
  <c r="I114" i="4"/>
  <c r="I113" i="4"/>
  <c r="I112" i="4"/>
  <c r="I111" i="4"/>
  <c r="I110" i="4"/>
  <c r="I109"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J23" i="4" s="1"/>
  <c r="I22" i="4"/>
  <c r="J22" i="4" s="1"/>
  <c r="I21" i="4"/>
  <c r="J21" i="4" s="1"/>
  <c r="I19" i="4"/>
  <c r="I18" i="4"/>
  <c r="I17" i="4"/>
  <c r="I16" i="4"/>
  <c r="I15" i="4"/>
  <c r="I14" i="4"/>
  <c r="I13" i="4"/>
  <c r="J13" i="4" s="1"/>
  <c r="I12" i="4"/>
  <c r="J12" i="4" s="1"/>
  <c r="I11" i="4"/>
  <c r="J11" i="4" s="1"/>
  <c r="I10" i="4"/>
  <c r="J10" i="4" s="1"/>
  <c r="I9" i="4"/>
  <c r="J9" i="4" s="1"/>
  <c r="I4" i="4"/>
  <c r="I5" i="4"/>
  <c r="I6" i="4"/>
  <c r="I7" i="4"/>
  <c r="I3" i="4"/>
  <c r="J3" i="4" s="1"/>
  <c r="B23" i="5"/>
  <c r="B24" i="5"/>
  <c r="B25" i="5"/>
  <c r="B26" i="5"/>
  <c r="B27" i="5"/>
  <c r="B28" i="5"/>
  <c r="J8" i="4" l="1"/>
  <c r="G27" i="7" l="1"/>
  <c r="G26" i="7"/>
  <c r="J175" i="4"/>
  <c r="E35" i="7" s="1"/>
  <c r="V162" i="4"/>
  <c r="U162" i="4"/>
  <c r="T162" i="4"/>
  <c r="O162" i="4"/>
  <c r="V160" i="4"/>
  <c r="U160" i="4"/>
  <c r="T160" i="4"/>
  <c r="O160" i="4"/>
  <c r="V159" i="4"/>
  <c r="U159" i="4"/>
  <c r="T159" i="4"/>
  <c r="O159" i="4"/>
  <c r="J163" i="4"/>
  <c r="E34" i="7" s="1"/>
  <c r="V157" i="4"/>
  <c r="U157" i="4"/>
  <c r="T157" i="4"/>
  <c r="O157" i="4"/>
  <c r="V155" i="4"/>
  <c r="U155" i="4"/>
  <c r="T155" i="4"/>
  <c r="O155" i="4"/>
  <c r="V154" i="4"/>
  <c r="U154" i="4"/>
  <c r="T154" i="4"/>
  <c r="O154" i="4"/>
  <c r="J158" i="4"/>
  <c r="E33" i="7" s="1"/>
  <c r="V152" i="4"/>
  <c r="U152" i="4"/>
  <c r="T152" i="4"/>
  <c r="O152" i="4"/>
  <c r="V150" i="4"/>
  <c r="U150" i="4"/>
  <c r="T150" i="4"/>
  <c r="O150" i="4"/>
  <c r="V149" i="4"/>
  <c r="U149" i="4"/>
  <c r="T149" i="4"/>
  <c r="O149" i="4"/>
  <c r="J153" i="4"/>
  <c r="E32" i="7" s="1"/>
  <c r="V147" i="4"/>
  <c r="U147" i="4"/>
  <c r="T147" i="4"/>
  <c r="O147" i="4"/>
  <c r="V145" i="4"/>
  <c r="U145" i="4"/>
  <c r="T145" i="4"/>
  <c r="O145" i="4"/>
  <c r="V144" i="4"/>
  <c r="U144" i="4"/>
  <c r="T144" i="4"/>
  <c r="O144" i="4"/>
  <c r="J148" i="4"/>
  <c r="E31" i="7" s="1"/>
  <c r="V119" i="4"/>
  <c r="U119" i="4"/>
  <c r="T119" i="4"/>
  <c r="O119" i="4"/>
  <c r="V117" i="4"/>
  <c r="U117" i="4"/>
  <c r="T117" i="4"/>
  <c r="O117" i="4"/>
  <c r="V116" i="4"/>
  <c r="U116" i="4"/>
  <c r="T116" i="4"/>
  <c r="O116" i="4"/>
  <c r="G25" i="7"/>
  <c r="G24" i="7"/>
  <c r="G19" i="21"/>
  <c r="E20" i="21"/>
  <c r="F20" i="21"/>
  <c r="E5" i="7" s="1"/>
  <c r="B20" i="21"/>
  <c r="D121" i="4" s="1"/>
  <c r="I121" i="4" s="1"/>
  <c r="J121" i="4" s="1"/>
  <c r="B22" i="5"/>
  <c r="B21" i="5"/>
  <c r="B20" i="5"/>
  <c r="B19" i="5"/>
  <c r="B18" i="5"/>
  <c r="B17" i="5"/>
  <c r="B16" i="5"/>
  <c r="B15" i="5"/>
  <c r="B14" i="5"/>
  <c r="B13" i="5"/>
  <c r="B12" i="5"/>
  <c r="B11" i="5"/>
  <c r="B10" i="5"/>
  <c r="B9" i="5"/>
  <c r="C13" i="19" l="1"/>
  <c r="E4" i="7"/>
  <c r="J120" i="4"/>
  <c r="E13" i="7" s="1"/>
  <c r="C11" i="19" l="1"/>
  <c r="C5" i="19"/>
  <c r="C4" i="19"/>
  <c r="E27" i="7"/>
  <c r="E26" i="7"/>
  <c r="E25" i="7"/>
  <c r="E24" i="7"/>
  <c r="D7" i="21" l="1"/>
  <c r="G7" i="21" s="1"/>
  <c r="D8" i="21"/>
  <c r="G8" i="21" s="1"/>
  <c r="D9" i="21"/>
  <c r="G9" i="21" s="1"/>
  <c r="D10" i="21"/>
  <c r="G10" i="21" s="1"/>
  <c r="D11" i="21"/>
  <c r="G11" i="21" s="1"/>
  <c r="D12" i="21"/>
  <c r="G12" i="21" s="1"/>
  <c r="D18" i="21"/>
  <c r="G18" i="21" s="1"/>
  <c r="D17" i="21"/>
  <c r="G17" i="21" s="1"/>
  <c r="D16" i="21"/>
  <c r="G16" i="21" s="1"/>
  <c r="D15" i="21"/>
  <c r="G15" i="21" s="1"/>
  <c r="D14" i="21"/>
  <c r="G14" i="21" s="1"/>
  <c r="D13" i="21"/>
  <c r="G13" i="21" s="1"/>
  <c r="C33" i="5"/>
  <c r="C63" i="4"/>
  <c r="C64" i="4"/>
  <c r="D64" i="4" s="1"/>
  <c r="J64" i="4" s="1"/>
  <c r="C65" i="4"/>
  <c r="D65" i="4" s="1"/>
  <c r="J65" i="4" s="1"/>
  <c r="C66" i="4"/>
  <c r="D66" i="4" s="1"/>
  <c r="J66" i="4" s="1"/>
  <c r="C67" i="4"/>
  <c r="D67" i="4" s="1"/>
  <c r="J67" i="4" s="1"/>
  <c r="C62" i="4"/>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5" i="3"/>
  <c r="E7" i="7"/>
  <c r="C16" i="19" s="1"/>
  <c r="J20" i="4"/>
  <c r="E8" i="7" s="1"/>
  <c r="C17" i="19" s="1"/>
  <c r="D63" i="4" l="1"/>
  <c r="D62" i="4"/>
  <c r="I62" i="4" s="1"/>
  <c r="I67" i="4"/>
  <c r="I65" i="4"/>
  <c r="I66" i="4"/>
  <c r="I64" i="4"/>
  <c r="I69" i="4"/>
  <c r="J69" i="4" s="1"/>
  <c r="G20" i="21"/>
  <c r="D20" i="21"/>
  <c r="K15" i="2"/>
  <c r="L15" i="2" s="1"/>
  <c r="K14" i="2"/>
  <c r="L14" i="2" s="1"/>
  <c r="K13" i="2"/>
  <c r="L13" i="2" s="1"/>
  <c r="K12" i="2"/>
  <c r="L12" i="2" s="1"/>
  <c r="K11" i="2"/>
  <c r="L11" i="2" s="1"/>
  <c r="K21" i="2"/>
  <c r="N21" i="2" s="1"/>
  <c r="K20" i="2"/>
  <c r="N20" i="2" s="1"/>
  <c r="O20" i="2" s="1"/>
  <c r="I63" i="4" l="1"/>
  <c r="J63" i="4" s="1"/>
  <c r="J62" i="4"/>
  <c r="C20" i="21"/>
  <c r="C12" i="19" s="1"/>
  <c r="C14" i="19" s="1"/>
  <c r="E3" i="7"/>
  <c r="E6" i="7" s="1"/>
  <c r="L20" i="2"/>
  <c r="N12" i="2"/>
  <c r="O12" i="2" s="1"/>
  <c r="N14" i="2"/>
  <c r="O14" i="2" s="1"/>
  <c r="N11" i="2"/>
  <c r="O11" i="2" s="1"/>
  <c r="N13" i="2"/>
  <c r="O13" i="2" s="1"/>
  <c r="N15" i="2"/>
  <c r="O15" i="2" s="1"/>
  <c r="O21" i="2"/>
  <c r="P21" i="2" s="1"/>
  <c r="Q21" i="2" s="1"/>
  <c r="L21" i="2"/>
  <c r="P20" i="2"/>
  <c r="Q20" i="2" s="1"/>
  <c r="K9" i="2"/>
  <c r="K7" i="2"/>
  <c r="J70" i="4" l="1"/>
  <c r="J68" i="4"/>
  <c r="P15" i="2"/>
  <c r="Q15" i="2" s="1"/>
  <c r="P13" i="2"/>
  <c r="Q13" i="2" s="1"/>
  <c r="P11" i="2"/>
  <c r="Q11" i="2" s="1"/>
  <c r="P12" i="2"/>
  <c r="Q12" i="2" s="1"/>
  <c r="P14" i="2"/>
  <c r="Q14" i="2" s="1"/>
  <c r="A1" i="3" l="1"/>
  <c r="AN30" i="5" l="1"/>
  <c r="D128" i="4" s="1"/>
  <c r="I128" i="4" s="1"/>
  <c r="J128" i="4" s="1"/>
  <c r="E1" i="2"/>
  <c r="O125" i="4"/>
  <c r="O123" i="4"/>
  <c r="O122" i="4"/>
  <c r="O121" i="4"/>
  <c r="O114" i="4"/>
  <c r="O113" i="4"/>
  <c r="O112" i="4"/>
  <c r="O111" i="4"/>
  <c r="O110" i="4"/>
  <c r="O109" i="4"/>
  <c r="O142" i="4"/>
  <c r="O141" i="4"/>
  <c r="O140" i="4"/>
  <c r="O139" i="4"/>
  <c r="O107" i="4"/>
  <c r="O106" i="4"/>
  <c r="O105" i="4"/>
  <c r="O104" i="4"/>
  <c r="O103" i="4"/>
  <c r="O102" i="4"/>
  <c r="O101" i="4"/>
  <c r="O100" i="4"/>
  <c r="O99" i="4"/>
  <c r="O98" i="4"/>
  <c r="O97" i="4"/>
  <c r="O96" i="4"/>
  <c r="O95" i="4"/>
  <c r="O94" i="4"/>
  <c r="O93" i="4"/>
  <c r="O92" i="4"/>
  <c r="O91" i="4"/>
  <c r="O90" i="4"/>
  <c r="O89" i="4"/>
  <c r="O69" i="4"/>
  <c r="O67" i="4"/>
  <c r="O66" i="4"/>
  <c r="O60" i="4"/>
  <c r="O59" i="4"/>
  <c r="K5" i="2"/>
  <c r="N5" i="2" s="1"/>
  <c r="N9" i="2"/>
  <c r="K10" i="2"/>
  <c r="N10" i="2" s="1"/>
  <c r="O10" i="2" s="1"/>
  <c r="P10" i="2" s="1"/>
  <c r="Q10" i="2" s="1"/>
  <c r="Q6" i="2"/>
  <c r="R6" i="2" s="1"/>
  <c r="S6" i="2" s="1"/>
  <c r="N31" i="2"/>
  <c r="K32" i="2"/>
  <c r="N32" i="2" s="1"/>
  <c r="O32" i="2" s="1"/>
  <c r="P32" i="2" s="1"/>
  <c r="Q32" i="2" s="1"/>
  <c r="R32" i="2" s="1"/>
  <c r="S32" i="2" s="1"/>
  <c r="K6" i="2"/>
  <c r="N6" i="2" s="1"/>
  <c r="O6" i="2" s="1"/>
  <c r="P6" i="2" s="1"/>
  <c r="Q7" i="2"/>
  <c r="R7" i="2" s="1"/>
  <c r="S7" i="2" s="1"/>
  <c r="Q16" i="2"/>
  <c r="R16" i="2" s="1"/>
  <c r="S16" i="2" s="1"/>
  <c r="Q17" i="2"/>
  <c r="R17" i="2" s="1"/>
  <c r="S17" i="2" s="1"/>
  <c r="Q18" i="2"/>
  <c r="R18" i="2" s="1"/>
  <c r="S18" i="2" s="1"/>
  <c r="Q33" i="2"/>
  <c r="R33" i="2" s="1"/>
  <c r="S33" i="2" s="1"/>
  <c r="Q36" i="2"/>
  <c r="R36" i="2" s="1"/>
  <c r="Q35" i="2"/>
  <c r="R35" i="2" s="1"/>
  <c r="K36" i="2"/>
  <c r="K35" i="2"/>
  <c r="K33" i="2"/>
  <c r="N33" i="2" s="1"/>
  <c r="K16" i="2"/>
  <c r="N16" i="2" s="1"/>
  <c r="O16" i="2" s="1"/>
  <c r="P16" i="2" s="1"/>
  <c r="K17" i="2"/>
  <c r="N17" i="2" s="1"/>
  <c r="O17" i="2" s="1"/>
  <c r="K18" i="2"/>
  <c r="N18" i="2" s="1"/>
  <c r="O18" i="2" s="1"/>
  <c r="P18" i="2" s="1"/>
  <c r="N7" i="2"/>
  <c r="H1" i="7"/>
  <c r="G30" i="7"/>
  <c r="D1" i="3"/>
  <c r="W1" i="4"/>
  <c r="T59" i="4"/>
  <c r="U59" i="4"/>
  <c r="V59" i="4"/>
  <c r="T60" i="4"/>
  <c r="U60" i="4"/>
  <c r="V60" i="4"/>
  <c r="T66" i="4"/>
  <c r="U66" i="4"/>
  <c r="V66" i="4"/>
  <c r="T67" i="4"/>
  <c r="U67" i="4"/>
  <c r="V67" i="4"/>
  <c r="T69" i="4"/>
  <c r="U69" i="4"/>
  <c r="V69" i="4"/>
  <c r="T89" i="4"/>
  <c r="U89" i="4"/>
  <c r="V89" i="4"/>
  <c r="T90" i="4"/>
  <c r="U90" i="4"/>
  <c r="V90" i="4"/>
  <c r="T91" i="4"/>
  <c r="U91" i="4"/>
  <c r="V91" i="4"/>
  <c r="T92" i="4"/>
  <c r="U92" i="4"/>
  <c r="V92" i="4"/>
  <c r="T93" i="4"/>
  <c r="U93" i="4"/>
  <c r="V93" i="4"/>
  <c r="T94" i="4"/>
  <c r="U94" i="4"/>
  <c r="V94" i="4"/>
  <c r="T95" i="4"/>
  <c r="U95" i="4"/>
  <c r="V95" i="4"/>
  <c r="T96" i="4"/>
  <c r="U96" i="4"/>
  <c r="V96" i="4"/>
  <c r="T97" i="4"/>
  <c r="U97" i="4"/>
  <c r="V97" i="4"/>
  <c r="T98" i="4"/>
  <c r="U98" i="4"/>
  <c r="V98" i="4"/>
  <c r="T99" i="4"/>
  <c r="U99" i="4"/>
  <c r="V99" i="4"/>
  <c r="T100" i="4"/>
  <c r="U100" i="4"/>
  <c r="V100" i="4"/>
  <c r="T101" i="4"/>
  <c r="U101" i="4"/>
  <c r="V101" i="4"/>
  <c r="T102" i="4"/>
  <c r="U102" i="4"/>
  <c r="V102" i="4"/>
  <c r="T103" i="4"/>
  <c r="U103" i="4"/>
  <c r="V103" i="4"/>
  <c r="T104" i="4"/>
  <c r="U104" i="4"/>
  <c r="V104" i="4"/>
  <c r="T105" i="4"/>
  <c r="U105" i="4"/>
  <c r="V105" i="4"/>
  <c r="T106" i="4"/>
  <c r="U106" i="4"/>
  <c r="V106" i="4"/>
  <c r="T107" i="4"/>
  <c r="U107" i="4"/>
  <c r="V107" i="4"/>
  <c r="T139" i="4"/>
  <c r="U139" i="4"/>
  <c r="V139" i="4"/>
  <c r="T140" i="4"/>
  <c r="U140" i="4"/>
  <c r="V140" i="4"/>
  <c r="T141" i="4"/>
  <c r="U141" i="4"/>
  <c r="V141" i="4"/>
  <c r="T142" i="4"/>
  <c r="U142" i="4"/>
  <c r="V142" i="4"/>
  <c r="T109" i="4"/>
  <c r="U109" i="4"/>
  <c r="V109" i="4"/>
  <c r="T110" i="4"/>
  <c r="U110" i="4"/>
  <c r="V110" i="4"/>
  <c r="T111" i="4"/>
  <c r="U111" i="4"/>
  <c r="V111" i="4"/>
  <c r="T112" i="4"/>
  <c r="U112" i="4"/>
  <c r="V112" i="4"/>
  <c r="T113" i="4"/>
  <c r="U113" i="4"/>
  <c r="V113" i="4"/>
  <c r="T114" i="4"/>
  <c r="U114" i="4"/>
  <c r="V114" i="4"/>
  <c r="T121" i="4"/>
  <c r="U121" i="4"/>
  <c r="V121" i="4"/>
  <c r="T122" i="4"/>
  <c r="U122" i="4"/>
  <c r="V122" i="4"/>
  <c r="T123" i="4"/>
  <c r="U123" i="4"/>
  <c r="V123" i="4"/>
  <c r="T125" i="4"/>
  <c r="U125" i="4"/>
  <c r="V125" i="4"/>
  <c r="Q1" i="2"/>
  <c r="L6" i="2"/>
  <c r="L7" i="2"/>
  <c r="L9" i="2"/>
  <c r="L17" i="2"/>
  <c r="N43" i="2"/>
  <c r="O43" i="2" s="1"/>
  <c r="N46" i="2"/>
  <c r="O46" i="2" s="1"/>
  <c r="N35" i="2" l="1"/>
  <c r="O35" i="2" s="1"/>
  <c r="P35" i="2" s="1"/>
  <c r="N36" i="2"/>
  <c r="R29" i="2"/>
  <c r="S29" i="2" s="1"/>
  <c r="R27" i="2"/>
  <c r="S27" i="2" s="1"/>
  <c r="R25" i="2"/>
  <c r="S25" i="2" s="1"/>
  <c r="R23" i="2"/>
  <c r="S23" i="2" s="1"/>
  <c r="R26" i="2"/>
  <c r="S26" i="2" s="1"/>
  <c r="R30" i="2"/>
  <c r="S30" i="2" s="1"/>
  <c r="R24" i="2"/>
  <c r="S24" i="2" s="1"/>
  <c r="R22" i="2"/>
  <c r="S22" i="2" s="1"/>
  <c r="R28" i="2"/>
  <c r="S28" i="2" s="1"/>
  <c r="L32" i="2"/>
  <c r="J126" i="4"/>
  <c r="E14" i="7" s="1"/>
  <c r="C22" i="19" s="1"/>
  <c r="J115" i="4"/>
  <c r="E12" i="7" s="1"/>
  <c r="C24" i="19" s="1"/>
  <c r="J143" i="4"/>
  <c r="E28" i="7" s="1"/>
  <c r="J108" i="4"/>
  <c r="E11" i="7" s="1"/>
  <c r="C20" i="19" s="1"/>
  <c r="E10" i="7"/>
  <c r="C19" i="19" s="1"/>
  <c r="J61" i="4"/>
  <c r="E9" i="7" s="1"/>
  <c r="C18" i="19" s="1"/>
  <c r="L18" i="2"/>
  <c r="L10" i="2"/>
  <c r="L5" i="2"/>
  <c r="L8" i="2" s="1"/>
  <c r="L16" i="2"/>
  <c r="L35" i="2"/>
  <c r="R15" i="2"/>
  <c r="S15" i="2" s="1"/>
  <c r="R11" i="2"/>
  <c r="S11" i="2" s="1"/>
  <c r="R13" i="2"/>
  <c r="S13" i="2" s="1"/>
  <c r="R14" i="2"/>
  <c r="S14" i="2" s="1"/>
  <c r="R12" i="2"/>
  <c r="S12" i="2" s="1"/>
  <c r="K19" i="2"/>
  <c r="N8" i="2"/>
  <c r="R21" i="2"/>
  <c r="S21" i="2" s="1"/>
  <c r="R20" i="2"/>
  <c r="S20" i="2" s="1"/>
  <c r="Q37" i="2"/>
  <c r="O5" i="2"/>
  <c r="P5" i="2" s="1"/>
  <c r="Q5" i="2" s="1"/>
  <c r="R5" i="2" s="1"/>
  <c r="S5" i="2" s="1"/>
  <c r="S8" i="2" s="1"/>
  <c r="K8" i="2"/>
  <c r="N34" i="2"/>
  <c r="N19" i="2"/>
  <c r="R10" i="2"/>
  <c r="S10" i="2" s="1"/>
  <c r="R37" i="2"/>
  <c r="O9" i="2"/>
  <c r="P9" i="2" s="1"/>
  <c r="Q9" i="2" s="1"/>
  <c r="R9" i="2" s="1"/>
  <c r="S9" i="2" s="1"/>
  <c r="O7" i="2"/>
  <c r="P7" i="2" s="1"/>
  <c r="O33" i="2"/>
  <c r="P33" i="2" s="1"/>
  <c r="L36" i="2"/>
  <c r="K34" i="2"/>
  <c r="L33" i="2"/>
  <c r="P17" i="2"/>
  <c r="O31" i="2"/>
  <c r="P31" i="2" s="1"/>
  <c r="Q31" i="2" s="1"/>
  <c r="R31" i="2" s="1"/>
  <c r="S31" i="2" s="1"/>
  <c r="F2" i="7"/>
  <c r="N37" i="2" l="1"/>
  <c r="O36" i="2"/>
  <c r="O37" i="2" s="1"/>
  <c r="L19" i="2"/>
  <c r="F34" i="7"/>
  <c r="F5" i="7"/>
  <c r="E21" i="7"/>
  <c r="F21" i="7" s="1"/>
  <c r="E15" i="7"/>
  <c r="C21" i="19"/>
  <c r="F35" i="7"/>
  <c r="L37" i="2"/>
  <c r="N38" i="2"/>
  <c r="P8" i="2"/>
  <c r="Q8" i="2"/>
  <c r="K38" i="2"/>
  <c r="L34" i="2"/>
  <c r="F3" i="7"/>
  <c r="F32" i="7"/>
  <c r="R8" i="2"/>
  <c r="O8" i="2"/>
  <c r="F33" i="7"/>
  <c r="F31" i="7"/>
  <c r="O19" i="2"/>
  <c r="O42" i="2" s="1"/>
  <c r="O44" i="2" s="1"/>
  <c r="O45" i="2" s="1"/>
  <c r="O47" i="2" s="1"/>
  <c r="O34" i="2"/>
  <c r="E29" i="7"/>
  <c r="C23" i="19" s="1"/>
  <c r="F25" i="7"/>
  <c r="F28" i="7"/>
  <c r="F7" i="7"/>
  <c r="F12" i="7"/>
  <c r="F14" i="7"/>
  <c r="F8" i="7"/>
  <c r="F24" i="7"/>
  <c r="F27" i="7"/>
  <c r="F13" i="7"/>
  <c r="F9" i="7"/>
  <c r="F11" i="7"/>
  <c r="P36" i="2" l="1"/>
  <c r="P37" i="2" s="1"/>
  <c r="L38" i="2"/>
  <c r="L39" i="2" s="1"/>
  <c r="E18" i="7"/>
  <c r="F18" i="7" s="1"/>
  <c r="R42" i="2"/>
  <c r="F4" i="7"/>
  <c r="F6" i="7" s="1"/>
  <c r="F26" i="7"/>
  <c r="F29" i="7" s="1"/>
  <c r="P34" i="2"/>
  <c r="O38" i="2"/>
  <c r="L42" i="2" s="1"/>
  <c r="L44" i="2" s="1"/>
  <c r="L45" i="2" s="1"/>
  <c r="L47" i="2" s="1"/>
  <c r="E30" i="7" s="1"/>
  <c r="E36" i="7" s="1"/>
  <c r="N42" i="2"/>
  <c r="N44" i="2" s="1"/>
  <c r="N45" i="2" s="1"/>
  <c r="N47" i="2" s="1"/>
  <c r="P19" i="2"/>
  <c r="H37" i="2" l="1"/>
  <c r="R45" i="2"/>
  <c r="AN29" i="5"/>
  <c r="D127" i="4" s="1"/>
  <c r="I127" i="4" s="1"/>
  <c r="J127" i="4" s="1"/>
  <c r="J132" i="4" s="1"/>
  <c r="E22" i="7" s="1"/>
  <c r="AE10" i="5"/>
  <c r="AI10" i="5"/>
  <c r="AM10" i="5"/>
  <c r="AH11" i="5"/>
  <c r="AL11" i="5"/>
  <c r="AG12" i="5"/>
  <c r="AK12" i="5"/>
  <c r="AF13" i="5"/>
  <c r="AJ13" i="5"/>
  <c r="AE14" i="5"/>
  <c r="AI14" i="5"/>
  <c r="AM14" i="5"/>
  <c r="AH15" i="5"/>
  <c r="AL15" i="5"/>
  <c r="AG16" i="5"/>
  <c r="AK16" i="5"/>
  <c r="AF17" i="5"/>
  <c r="AJ17" i="5"/>
  <c r="AE18" i="5"/>
  <c r="AI18" i="5"/>
  <c r="AM18" i="5"/>
  <c r="AH19" i="5"/>
  <c r="AL19" i="5"/>
  <c r="AG20" i="5"/>
  <c r="AK20" i="5"/>
  <c r="AF21" i="5"/>
  <c r="AJ21" i="5"/>
  <c r="AE22" i="5"/>
  <c r="AI22" i="5"/>
  <c r="AM22" i="5"/>
  <c r="AH23" i="5"/>
  <c r="AL23" i="5"/>
  <c r="AG24" i="5"/>
  <c r="AK24" i="5"/>
  <c r="AF25" i="5"/>
  <c r="AJ25" i="5"/>
  <c r="AE26" i="5"/>
  <c r="AI26" i="5"/>
  <c r="AM26" i="5"/>
  <c r="AH27" i="5"/>
  <c r="AL27" i="5"/>
  <c r="AG28" i="5"/>
  <c r="AK28" i="5"/>
  <c r="AG10" i="5"/>
  <c r="AK10" i="5"/>
  <c r="AF11" i="5"/>
  <c r="AJ11" i="5"/>
  <c r="AE12" i="5"/>
  <c r="AI12" i="5"/>
  <c r="AM12" i="5"/>
  <c r="AH13" i="5"/>
  <c r="AL13" i="5"/>
  <c r="AG14" i="5"/>
  <c r="AK14" i="5"/>
  <c r="AF15" i="5"/>
  <c r="AJ15" i="5"/>
  <c r="AE16" i="5"/>
  <c r="AI16" i="5"/>
  <c r="AM16" i="5"/>
  <c r="AH17" i="5"/>
  <c r="AL17" i="5"/>
  <c r="AG18" i="5"/>
  <c r="AK18" i="5"/>
  <c r="AF19" i="5"/>
  <c r="AJ19" i="5"/>
  <c r="AE20" i="5"/>
  <c r="AI20" i="5"/>
  <c r="AM20" i="5"/>
  <c r="AH21" i="5"/>
  <c r="AL21" i="5"/>
  <c r="AG22" i="5"/>
  <c r="AK22" i="5"/>
  <c r="AF23" i="5"/>
  <c r="AJ23" i="5"/>
  <c r="AE24" i="5"/>
  <c r="AI24" i="5"/>
  <c r="AM24" i="5"/>
  <c r="AH25" i="5"/>
  <c r="AL25" i="5"/>
  <c r="AG26" i="5"/>
  <c r="AK26" i="5"/>
  <c r="AF27" i="5"/>
  <c r="AJ27" i="5"/>
  <c r="AE28" i="5"/>
  <c r="AI28" i="5"/>
  <c r="AM28" i="5"/>
  <c r="AL9" i="5"/>
  <c r="AH9" i="5"/>
  <c r="S10" i="5"/>
  <c r="W10" i="5"/>
  <c r="AA10" i="5"/>
  <c r="S11" i="5"/>
  <c r="W11" i="5"/>
  <c r="AA11" i="5"/>
  <c r="S12" i="5"/>
  <c r="W12" i="5"/>
  <c r="AA12" i="5"/>
  <c r="S13" i="5"/>
  <c r="W13" i="5"/>
  <c r="AA13" i="5"/>
  <c r="S14" i="5"/>
  <c r="W14" i="5"/>
  <c r="AA14" i="5"/>
  <c r="S15" i="5"/>
  <c r="W15" i="5"/>
  <c r="AA15" i="5"/>
  <c r="S16" i="5"/>
  <c r="W16" i="5"/>
  <c r="AA16" i="5"/>
  <c r="S17" i="5"/>
  <c r="W17" i="5"/>
  <c r="AA17" i="5"/>
  <c r="S18" i="5"/>
  <c r="W18" i="5"/>
  <c r="AA18" i="5"/>
  <c r="S19" i="5"/>
  <c r="W19" i="5"/>
  <c r="AA19" i="5"/>
  <c r="S20" i="5"/>
  <c r="W20" i="5"/>
  <c r="AA20" i="5"/>
  <c r="S21" i="5"/>
  <c r="W21" i="5"/>
  <c r="AA21" i="5"/>
  <c r="S22" i="5"/>
  <c r="W22" i="5"/>
  <c r="AA22" i="5"/>
  <c r="S23" i="5"/>
  <c r="W23" i="5"/>
  <c r="AA23" i="5"/>
  <c r="S24" i="5"/>
  <c r="W24" i="5"/>
  <c r="AA24" i="5"/>
  <c r="S25" i="5"/>
  <c r="W25" i="5"/>
  <c r="AA25" i="5"/>
  <c r="S26" i="5"/>
  <c r="D9" i="5"/>
  <c r="AH10" i="5"/>
  <c r="AL10" i="5"/>
  <c r="AG11" i="5"/>
  <c r="AK11" i="5"/>
  <c r="AF12" i="5"/>
  <c r="AJ12" i="5"/>
  <c r="AE13" i="5"/>
  <c r="AI13" i="5"/>
  <c r="AM13" i="5"/>
  <c r="AH14" i="5"/>
  <c r="AL14" i="5"/>
  <c r="AG15" i="5"/>
  <c r="AK15" i="5"/>
  <c r="AF16" i="5"/>
  <c r="AJ16" i="5"/>
  <c r="AE17" i="5"/>
  <c r="AI17" i="5"/>
  <c r="AM17" i="5"/>
  <c r="AH18" i="5"/>
  <c r="AL18" i="5"/>
  <c r="AG19" i="5"/>
  <c r="AK19" i="5"/>
  <c r="AF20" i="5"/>
  <c r="AJ20" i="5"/>
  <c r="AE21" i="5"/>
  <c r="AI21" i="5"/>
  <c r="AM21" i="5"/>
  <c r="AH22" i="5"/>
  <c r="AL22" i="5"/>
  <c r="AG23" i="5"/>
  <c r="AK23" i="5"/>
  <c r="AF24" i="5"/>
  <c r="AJ24" i="5"/>
  <c r="AE25" i="5"/>
  <c r="AI25" i="5"/>
  <c r="AM25" i="5"/>
  <c r="AH26" i="5"/>
  <c r="AL26" i="5"/>
  <c r="AG27" i="5"/>
  <c r="AK27" i="5"/>
  <c r="AF28" i="5"/>
  <c r="AJ28" i="5"/>
  <c r="AJ9" i="5"/>
  <c r="AF9" i="5"/>
  <c r="U10" i="5"/>
  <c r="Y10" i="5"/>
  <c r="AC10" i="5"/>
  <c r="U11" i="5"/>
  <c r="Y11" i="5"/>
  <c r="AC11" i="5"/>
  <c r="U12" i="5"/>
  <c r="Y12" i="5"/>
  <c r="AC12" i="5"/>
  <c r="U13" i="5"/>
  <c r="Y13" i="5"/>
  <c r="AC13" i="5"/>
  <c r="U14" i="5"/>
  <c r="Y14" i="5"/>
  <c r="AC14" i="5"/>
  <c r="U15" i="5"/>
  <c r="Y15" i="5"/>
  <c r="AC15" i="5"/>
  <c r="U16" i="5"/>
  <c r="Y16" i="5"/>
  <c r="AC16" i="5"/>
  <c r="U17" i="5"/>
  <c r="Y17" i="5"/>
  <c r="AC17" i="5"/>
  <c r="U18" i="5"/>
  <c r="Y18" i="5"/>
  <c r="AC18" i="5"/>
  <c r="U19" i="5"/>
  <c r="Y19" i="5"/>
  <c r="AC19" i="5"/>
  <c r="U20" i="5"/>
  <c r="Y20" i="5"/>
  <c r="AC20" i="5"/>
  <c r="U21" i="5"/>
  <c r="Y21" i="5"/>
  <c r="AC21" i="5"/>
  <c r="U22" i="5"/>
  <c r="Y22" i="5"/>
  <c r="AC22" i="5"/>
  <c r="U23" i="5"/>
  <c r="Y23" i="5"/>
  <c r="AC23" i="5"/>
  <c r="U24" i="5"/>
  <c r="Y24" i="5"/>
  <c r="AC24" i="5"/>
  <c r="U25" i="5"/>
  <c r="Y25" i="5"/>
  <c r="AC25" i="5"/>
  <c r="U26" i="5"/>
  <c r="AF10" i="5"/>
  <c r="AJ10" i="5"/>
  <c r="AE11" i="5"/>
  <c r="AI11" i="5"/>
  <c r="AM11" i="5"/>
  <c r="AH12" i="5"/>
  <c r="AL12" i="5"/>
  <c r="AG13" i="5"/>
  <c r="AK13" i="5"/>
  <c r="AF14" i="5"/>
  <c r="AJ14" i="5"/>
  <c r="AE15" i="5"/>
  <c r="AI15" i="5"/>
  <c r="AM15" i="5"/>
  <c r="AH16" i="5"/>
  <c r="AL16" i="5"/>
  <c r="AG17" i="5"/>
  <c r="AK17" i="5"/>
  <c r="AF18" i="5"/>
  <c r="AJ18" i="5"/>
  <c r="AE19" i="5"/>
  <c r="AI19" i="5"/>
  <c r="AM19" i="5"/>
  <c r="AH20" i="5"/>
  <c r="AL20" i="5"/>
  <c r="AG21" i="5"/>
  <c r="AK21" i="5"/>
  <c r="AF22" i="5"/>
  <c r="AJ22" i="5"/>
  <c r="AE23" i="5"/>
  <c r="AI23" i="5"/>
  <c r="AM23" i="5"/>
  <c r="AH24" i="5"/>
  <c r="AL24" i="5"/>
  <c r="AG25" i="5"/>
  <c r="AK25" i="5"/>
  <c r="AF26" i="5"/>
  <c r="AJ26" i="5"/>
  <c r="AE27" i="5"/>
  <c r="AI27" i="5"/>
  <c r="AM27" i="5"/>
  <c r="AH28" i="5"/>
  <c r="AL28" i="5"/>
  <c r="AK9" i="5"/>
  <c r="AG9" i="5"/>
  <c r="T10" i="5"/>
  <c r="X10" i="5"/>
  <c r="AB10" i="5"/>
  <c r="T11" i="5"/>
  <c r="X11" i="5"/>
  <c r="AB11" i="5"/>
  <c r="T12" i="5"/>
  <c r="X12" i="5"/>
  <c r="AB12" i="5"/>
  <c r="T13" i="5"/>
  <c r="X13" i="5"/>
  <c r="AB13" i="5"/>
  <c r="T14" i="5"/>
  <c r="X14" i="5"/>
  <c r="AB14" i="5"/>
  <c r="T15" i="5"/>
  <c r="X15" i="5"/>
  <c r="AB15" i="5"/>
  <c r="T16" i="5"/>
  <c r="X16" i="5"/>
  <c r="AB16" i="5"/>
  <c r="T17" i="5"/>
  <c r="X17" i="5"/>
  <c r="AB17" i="5"/>
  <c r="T18" i="5"/>
  <c r="X18" i="5"/>
  <c r="AB18" i="5"/>
  <c r="T19" i="5"/>
  <c r="X19" i="5"/>
  <c r="AB19" i="5"/>
  <c r="T20" i="5"/>
  <c r="X20" i="5"/>
  <c r="AB20" i="5"/>
  <c r="T21" i="5"/>
  <c r="X21" i="5"/>
  <c r="AB21" i="5"/>
  <c r="T22" i="5"/>
  <c r="X22" i="5"/>
  <c r="AB22" i="5"/>
  <c r="T23" i="5"/>
  <c r="X23" i="5"/>
  <c r="AB23" i="5"/>
  <c r="T24" i="5"/>
  <c r="X24" i="5"/>
  <c r="AB24" i="5"/>
  <c r="T25" i="5"/>
  <c r="X25" i="5"/>
  <c r="AB25" i="5"/>
  <c r="W26" i="5"/>
  <c r="AA26" i="5"/>
  <c r="S27" i="5"/>
  <c r="W27" i="5"/>
  <c r="AA27" i="5"/>
  <c r="S28" i="5"/>
  <c r="W28" i="5"/>
  <c r="AA28" i="5"/>
  <c r="AM9" i="5"/>
  <c r="AI9" i="5"/>
  <c r="AE9" i="5"/>
  <c r="V10" i="5"/>
  <c r="Z10" i="5"/>
  <c r="AD10" i="5"/>
  <c r="V11" i="5"/>
  <c r="Z11" i="5"/>
  <c r="AD11" i="5"/>
  <c r="V12" i="5"/>
  <c r="Z12" i="5"/>
  <c r="AD12" i="5"/>
  <c r="V13" i="5"/>
  <c r="Z13" i="5"/>
  <c r="AD13" i="5"/>
  <c r="V14" i="5"/>
  <c r="Z14" i="5"/>
  <c r="AD14" i="5"/>
  <c r="V15" i="5"/>
  <c r="Z15" i="5"/>
  <c r="AD15" i="5"/>
  <c r="V16" i="5"/>
  <c r="Z16" i="5"/>
  <c r="AD16" i="5"/>
  <c r="V17" i="5"/>
  <c r="Z17" i="5"/>
  <c r="AD17" i="5"/>
  <c r="V18" i="5"/>
  <c r="Z18" i="5"/>
  <c r="AD18" i="5"/>
  <c r="V19" i="5"/>
  <c r="Z19" i="5"/>
  <c r="AD19" i="5"/>
  <c r="V20" i="5"/>
  <c r="Z20" i="5"/>
  <c r="AD20" i="5"/>
  <c r="V21" i="5"/>
  <c r="Z21" i="5"/>
  <c r="AD21" i="5"/>
  <c r="V22" i="5"/>
  <c r="Z22" i="5"/>
  <c r="AD22" i="5"/>
  <c r="V23" i="5"/>
  <c r="Z23" i="5"/>
  <c r="AD23" i="5"/>
  <c r="V24" i="5"/>
  <c r="Z24" i="5"/>
  <c r="AD24" i="5"/>
  <c r="V25" i="5"/>
  <c r="Z25" i="5"/>
  <c r="T26" i="5"/>
  <c r="Y26" i="5"/>
  <c r="AC26" i="5"/>
  <c r="U27" i="5"/>
  <c r="Y27" i="5"/>
  <c r="AC27" i="5"/>
  <c r="U28" i="5"/>
  <c r="Y28" i="5"/>
  <c r="AC28" i="5"/>
  <c r="AB9" i="5"/>
  <c r="X9" i="5"/>
  <c r="T9" i="5"/>
  <c r="N10" i="5"/>
  <c r="R10" i="5"/>
  <c r="P11" i="5"/>
  <c r="N12" i="5"/>
  <c r="R12" i="5"/>
  <c r="P13" i="5"/>
  <c r="N14" i="5"/>
  <c r="R14" i="5"/>
  <c r="P15" i="5"/>
  <c r="N16" i="5"/>
  <c r="R16" i="5"/>
  <c r="P17" i="5"/>
  <c r="N18" i="5"/>
  <c r="R18" i="5"/>
  <c r="P19" i="5"/>
  <c r="N20" i="5"/>
  <c r="R20" i="5"/>
  <c r="P21" i="5"/>
  <c r="N22" i="5"/>
  <c r="R22" i="5"/>
  <c r="P23" i="5"/>
  <c r="N24" i="5"/>
  <c r="R24" i="5"/>
  <c r="P25" i="5"/>
  <c r="N26" i="5"/>
  <c r="R26" i="5"/>
  <c r="P27" i="5"/>
  <c r="N28" i="5"/>
  <c r="R28" i="5"/>
  <c r="O9" i="5"/>
  <c r="G10" i="5"/>
  <c r="K10" i="5"/>
  <c r="G11" i="5"/>
  <c r="K11" i="5"/>
  <c r="G12" i="5"/>
  <c r="K12" i="5"/>
  <c r="G13" i="5"/>
  <c r="K13" i="5"/>
  <c r="G14" i="5"/>
  <c r="K14" i="5"/>
  <c r="G15" i="5"/>
  <c r="K15" i="5"/>
  <c r="G16" i="5"/>
  <c r="K16" i="5"/>
  <c r="G17" i="5"/>
  <c r="K17" i="5"/>
  <c r="G18" i="5"/>
  <c r="K18" i="5"/>
  <c r="G19" i="5"/>
  <c r="K19" i="5"/>
  <c r="G20" i="5"/>
  <c r="K20" i="5"/>
  <c r="G21" i="5"/>
  <c r="K21" i="5"/>
  <c r="G22" i="5"/>
  <c r="K22" i="5"/>
  <c r="G23" i="5"/>
  <c r="K23" i="5"/>
  <c r="G24" i="5"/>
  <c r="K24" i="5"/>
  <c r="G25" i="5"/>
  <c r="K25" i="5"/>
  <c r="G26" i="5"/>
  <c r="K26" i="5"/>
  <c r="G27" i="5"/>
  <c r="K27" i="5"/>
  <c r="G28" i="5"/>
  <c r="K28" i="5"/>
  <c r="AD25" i="5"/>
  <c r="X26" i="5"/>
  <c r="AB26" i="5"/>
  <c r="T27" i="5"/>
  <c r="X27" i="5"/>
  <c r="AB27" i="5"/>
  <c r="T28" i="5"/>
  <c r="X28" i="5"/>
  <c r="AB28" i="5"/>
  <c r="AC9" i="5"/>
  <c r="Y9" i="5"/>
  <c r="U9" i="5"/>
  <c r="M10" i="5"/>
  <c r="Q10" i="5"/>
  <c r="O11" i="5"/>
  <c r="M12" i="5"/>
  <c r="Q12" i="5"/>
  <c r="O13" i="5"/>
  <c r="M14" i="5"/>
  <c r="Q14" i="5"/>
  <c r="O15" i="5"/>
  <c r="M16" i="5"/>
  <c r="Q16" i="5"/>
  <c r="O17" i="5"/>
  <c r="M18" i="5"/>
  <c r="Q18" i="5"/>
  <c r="O19" i="5"/>
  <c r="M20" i="5"/>
  <c r="Q20" i="5"/>
  <c r="O21" i="5"/>
  <c r="M22" i="5"/>
  <c r="Q22" i="5"/>
  <c r="O23" i="5"/>
  <c r="M24" i="5"/>
  <c r="Q24" i="5"/>
  <c r="O25" i="5"/>
  <c r="M26" i="5"/>
  <c r="Q26" i="5"/>
  <c r="O27" i="5"/>
  <c r="M28" i="5"/>
  <c r="Q28" i="5"/>
  <c r="AD9" i="5"/>
  <c r="Z9" i="5"/>
  <c r="V9" i="5"/>
  <c r="M9" i="5"/>
  <c r="P10" i="5"/>
  <c r="N11" i="5"/>
  <c r="R11" i="5"/>
  <c r="P12" i="5"/>
  <c r="N13" i="5"/>
  <c r="R13" i="5"/>
  <c r="P14" i="5"/>
  <c r="N15" i="5"/>
  <c r="R15" i="5"/>
  <c r="P16" i="5"/>
  <c r="N17" i="5"/>
  <c r="R17" i="5"/>
  <c r="P18" i="5"/>
  <c r="N19" i="5"/>
  <c r="R19" i="5"/>
  <c r="P20" i="5"/>
  <c r="N21" i="5"/>
  <c r="R21" i="5"/>
  <c r="P22" i="5"/>
  <c r="N23" i="5"/>
  <c r="R23" i="5"/>
  <c r="P24" i="5"/>
  <c r="N25" i="5"/>
  <c r="R25" i="5"/>
  <c r="P26" i="5"/>
  <c r="N27" i="5"/>
  <c r="R27" i="5"/>
  <c r="P28" i="5"/>
  <c r="Q9" i="5"/>
  <c r="E10" i="5"/>
  <c r="I10" i="5"/>
  <c r="E11" i="5"/>
  <c r="I11" i="5"/>
  <c r="E12" i="5"/>
  <c r="I12" i="5"/>
  <c r="E13" i="5"/>
  <c r="I13" i="5"/>
  <c r="E14" i="5"/>
  <c r="I14" i="5"/>
  <c r="E15" i="5"/>
  <c r="I15" i="5"/>
  <c r="E16" i="5"/>
  <c r="I16" i="5"/>
  <c r="E17" i="5"/>
  <c r="I17" i="5"/>
  <c r="E18" i="5"/>
  <c r="I18" i="5"/>
  <c r="E19" i="5"/>
  <c r="I19" i="5"/>
  <c r="E20" i="5"/>
  <c r="I20" i="5"/>
  <c r="E21" i="5"/>
  <c r="I21" i="5"/>
  <c r="E22" i="5"/>
  <c r="I22" i="5"/>
  <c r="E23" i="5"/>
  <c r="I23" i="5"/>
  <c r="E24" i="5"/>
  <c r="I24" i="5"/>
  <c r="E25" i="5"/>
  <c r="I25" i="5"/>
  <c r="E26" i="5"/>
  <c r="I26" i="5"/>
  <c r="E27" i="5"/>
  <c r="I27" i="5"/>
  <c r="E28" i="5"/>
  <c r="I28" i="5"/>
  <c r="V26" i="5"/>
  <c r="Z26" i="5"/>
  <c r="AD26" i="5"/>
  <c r="V27" i="5"/>
  <c r="Z27" i="5"/>
  <c r="AD27" i="5"/>
  <c r="V28" i="5"/>
  <c r="Z28" i="5"/>
  <c r="AD28" i="5"/>
  <c r="AA9" i="5"/>
  <c r="W9" i="5"/>
  <c r="S9" i="5"/>
  <c r="O10" i="5"/>
  <c r="M11" i="5"/>
  <c r="Q11" i="5"/>
  <c r="O12" i="5"/>
  <c r="M13" i="5"/>
  <c r="Q13" i="5"/>
  <c r="O14" i="5"/>
  <c r="M15" i="5"/>
  <c r="Q15" i="5"/>
  <c r="O16" i="5"/>
  <c r="M17" i="5"/>
  <c r="Q17" i="5"/>
  <c r="O18" i="5"/>
  <c r="M19" i="5"/>
  <c r="Q19" i="5"/>
  <c r="O20" i="5"/>
  <c r="M21" i="5"/>
  <c r="Q21" i="5"/>
  <c r="O22" i="5"/>
  <c r="M23" i="5"/>
  <c r="Q23" i="5"/>
  <c r="O24" i="5"/>
  <c r="M25" i="5"/>
  <c r="Q25" i="5"/>
  <c r="O26" i="5"/>
  <c r="M27" i="5"/>
  <c r="Q27" i="5"/>
  <c r="O28" i="5"/>
  <c r="R9" i="5"/>
  <c r="N9" i="5"/>
  <c r="H10" i="5"/>
  <c r="L10" i="5"/>
  <c r="H11" i="5"/>
  <c r="L11" i="5"/>
  <c r="H12" i="5"/>
  <c r="L12" i="5"/>
  <c r="H13" i="5"/>
  <c r="L13" i="5"/>
  <c r="H14" i="5"/>
  <c r="L14" i="5"/>
  <c r="H15" i="5"/>
  <c r="L15" i="5"/>
  <c r="H16" i="5"/>
  <c r="L16" i="5"/>
  <c r="H17" i="5"/>
  <c r="L17" i="5"/>
  <c r="H18" i="5"/>
  <c r="L18" i="5"/>
  <c r="H19" i="5"/>
  <c r="L19" i="5"/>
  <c r="H20" i="5"/>
  <c r="L20" i="5"/>
  <c r="H21" i="5"/>
  <c r="L21" i="5"/>
  <c r="H22" i="5"/>
  <c r="L22" i="5"/>
  <c r="H23" i="5"/>
  <c r="L23" i="5"/>
  <c r="H24" i="5"/>
  <c r="L24" i="5"/>
  <c r="H25" i="5"/>
  <c r="L25" i="5"/>
  <c r="H26" i="5"/>
  <c r="L26" i="5"/>
  <c r="H27" i="5"/>
  <c r="L27" i="5"/>
  <c r="H28" i="5"/>
  <c r="L28" i="5"/>
  <c r="J9" i="5"/>
  <c r="F9" i="5"/>
  <c r="D24" i="5"/>
  <c r="D28" i="5"/>
  <c r="D10" i="5"/>
  <c r="D14" i="5"/>
  <c r="D18" i="5"/>
  <c r="D22" i="5"/>
  <c r="I9" i="5"/>
  <c r="E9" i="5"/>
  <c r="D25" i="5"/>
  <c r="D11" i="5"/>
  <c r="D15" i="5"/>
  <c r="D21" i="5"/>
  <c r="D13" i="5"/>
  <c r="P9" i="5"/>
  <c r="F10" i="5"/>
  <c r="J10" i="5"/>
  <c r="F11" i="5"/>
  <c r="J11" i="5"/>
  <c r="F12" i="5"/>
  <c r="J12" i="5"/>
  <c r="F13" i="5"/>
  <c r="J13" i="5"/>
  <c r="F14" i="5"/>
  <c r="J14" i="5"/>
  <c r="F15" i="5"/>
  <c r="J15" i="5"/>
  <c r="F16" i="5"/>
  <c r="J16" i="5"/>
  <c r="F17" i="5"/>
  <c r="J17" i="5"/>
  <c r="F18" i="5"/>
  <c r="J18" i="5"/>
  <c r="F19" i="5"/>
  <c r="J19" i="5"/>
  <c r="F20" i="5"/>
  <c r="J20" i="5"/>
  <c r="F21" i="5"/>
  <c r="J21" i="5"/>
  <c r="F22" i="5"/>
  <c r="J22" i="5"/>
  <c r="F23" i="5"/>
  <c r="J23" i="5"/>
  <c r="F24" i="5"/>
  <c r="J24" i="5"/>
  <c r="F25" i="5"/>
  <c r="J25" i="5"/>
  <c r="F26" i="5"/>
  <c r="J26" i="5"/>
  <c r="F27" i="5"/>
  <c r="J27" i="5"/>
  <c r="F28" i="5"/>
  <c r="J28" i="5"/>
  <c r="L9" i="5"/>
  <c r="H9" i="5"/>
  <c r="D26" i="5"/>
  <c r="D12" i="5"/>
  <c r="D16" i="5"/>
  <c r="D20" i="5"/>
  <c r="D19" i="5"/>
  <c r="K9" i="5"/>
  <c r="G9" i="5"/>
  <c r="D23" i="5"/>
  <c r="D27" i="5"/>
  <c r="D17" i="5"/>
  <c r="P39" i="2"/>
  <c r="P38" i="2"/>
  <c r="Q19" i="2"/>
  <c r="R43" i="2" s="1"/>
  <c r="Q34" i="2"/>
  <c r="S31" i="5" l="1"/>
  <c r="S34" i="5" s="1"/>
  <c r="S37" i="5" s="1"/>
  <c r="L31" i="5"/>
  <c r="L34" i="5" s="1"/>
  <c r="L37" i="5" s="1"/>
  <c r="I31" i="5"/>
  <c r="I34" i="5" s="1"/>
  <c r="I37" i="5" s="1"/>
  <c r="G31" i="5"/>
  <c r="G34" i="5" s="1"/>
  <c r="G37" i="5" s="1"/>
  <c r="K31" i="5"/>
  <c r="K34" i="5" s="1"/>
  <c r="K37" i="5" s="1"/>
  <c r="P31" i="5"/>
  <c r="P34" i="5" s="1"/>
  <c r="P37" i="5" s="1"/>
  <c r="H31" i="5"/>
  <c r="H34" i="5" s="1"/>
  <c r="H37" i="5" s="1"/>
  <c r="E31" i="5"/>
  <c r="E34" i="5" s="1"/>
  <c r="E37" i="5" s="1"/>
  <c r="AN17" i="5"/>
  <c r="AN23" i="5"/>
  <c r="AN19" i="5"/>
  <c r="AN16" i="5"/>
  <c r="N31" i="5"/>
  <c r="N34" i="5" s="1"/>
  <c r="N37" i="5" s="1"/>
  <c r="AA31" i="5"/>
  <c r="AA34" i="5" s="1"/>
  <c r="AA37" i="5" s="1"/>
  <c r="Y31" i="5"/>
  <c r="Y34" i="5" s="1"/>
  <c r="Y37" i="5" s="1"/>
  <c r="AN12" i="5"/>
  <c r="R31" i="5"/>
  <c r="R34" i="5" s="1"/>
  <c r="R37" i="5" s="1"/>
  <c r="W31" i="5"/>
  <c r="W34" i="5" s="1"/>
  <c r="W37" i="5" s="1"/>
  <c r="U31" i="5"/>
  <c r="U34" i="5" s="1"/>
  <c r="U37" i="5" s="1"/>
  <c r="AC31" i="5"/>
  <c r="AC34" i="5" s="1"/>
  <c r="AC37" i="5" s="1"/>
  <c r="AI31" i="5"/>
  <c r="AI34" i="5" s="1"/>
  <c r="AI37" i="5" s="1"/>
  <c r="AN27" i="5"/>
  <c r="AN26" i="5"/>
  <c r="F30" i="7"/>
  <c r="F36" i="7" s="1"/>
  <c r="AN20" i="5"/>
  <c r="AN15" i="5"/>
  <c r="AN22" i="5"/>
  <c r="AN14" i="5"/>
  <c r="AN28" i="5"/>
  <c r="F31" i="5"/>
  <c r="F34" i="5" s="1"/>
  <c r="F37" i="5" s="1"/>
  <c r="M31" i="5"/>
  <c r="M34" i="5" s="1"/>
  <c r="M37" i="5" s="1"/>
  <c r="Z31" i="5"/>
  <c r="Z34" i="5" s="1"/>
  <c r="Z37" i="5" s="1"/>
  <c r="X31" i="5"/>
  <c r="X34" i="5" s="1"/>
  <c r="X37" i="5" s="1"/>
  <c r="AG31" i="5"/>
  <c r="AG34" i="5" s="1"/>
  <c r="AG37" i="5" s="1"/>
  <c r="AJ31" i="5"/>
  <c r="AJ34" i="5" s="1"/>
  <c r="AJ37" i="5" s="1"/>
  <c r="AL31" i="5"/>
  <c r="AL34" i="5" s="1"/>
  <c r="AL37" i="5" s="1"/>
  <c r="F10" i="7"/>
  <c r="AN13" i="5"/>
  <c r="AN21" i="5"/>
  <c r="AN11" i="5"/>
  <c r="AN25" i="5"/>
  <c r="AN18" i="5"/>
  <c r="AN10" i="5"/>
  <c r="AN24" i="5"/>
  <c r="J31" i="5"/>
  <c r="J34" i="5" s="1"/>
  <c r="J37" i="5" s="1"/>
  <c r="Q31" i="5"/>
  <c r="Q34" i="5" s="1"/>
  <c r="Q37" i="5" s="1"/>
  <c r="V31" i="5"/>
  <c r="V34" i="5" s="1"/>
  <c r="V37" i="5" s="1"/>
  <c r="AD31" i="5"/>
  <c r="AD34" i="5" s="1"/>
  <c r="AD37" i="5" s="1"/>
  <c r="O31" i="5"/>
  <c r="O34" i="5" s="1"/>
  <c r="O37" i="5" s="1"/>
  <c r="T31" i="5"/>
  <c r="T34" i="5" s="1"/>
  <c r="T37" i="5" s="1"/>
  <c r="AB31" i="5"/>
  <c r="AB34" i="5" s="1"/>
  <c r="AB37" i="5" s="1"/>
  <c r="AE31" i="5"/>
  <c r="AE34" i="5" s="1"/>
  <c r="AE37" i="5" s="1"/>
  <c r="AM31" i="5"/>
  <c r="AM34" i="5" s="1"/>
  <c r="AM37" i="5" s="1"/>
  <c r="AK31" i="5"/>
  <c r="AK34" i="5" s="1"/>
  <c r="AK37" i="5" s="1"/>
  <c r="AF31" i="5"/>
  <c r="AF34" i="5" s="1"/>
  <c r="AF37" i="5" s="1"/>
  <c r="D31" i="5"/>
  <c r="D34" i="5" s="1"/>
  <c r="AN9" i="5"/>
  <c r="AH31" i="5"/>
  <c r="AH34" i="5" s="1"/>
  <c r="AH37" i="5" s="1"/>
  <c r="Q39" i="2"/>
  <c r="Q38" i="2"/>
  <c r="H34" i="2"/>
  <c r="R44" i="2"/>
  <c r="S34" i="2"/>
  <c r="E17" i="7" s="1"/>
  <c r="R34" i="2"/>
  <c r="E20" i="7" s="1"/>
  <c r="F20" i="7" s="1"/>
  <c r="S19" i="2"/>
  <c r="E16" i="7" s="1"/>
  <c r="R19" i="2"/>
  <c r="AN34" i="5" l="1"/>
  <c r="F22" i="7" s="1"/>
  <c r="D37" i="5"/>
  <c r="AN37" i="5" s="1"/>
  <c r="E19" i="7"/>
  <c r="F19" i="7" s="1"/>
  <c r="F16" i="7"/>
  <c r="E23"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AN31" i="5"/>
  <c r="R38" i="2"/>
  <c r="F17" i="7"/>
  <c r="S38" i="2"/>
  <c r="E37" i="7" l="1"/>
  <c r="F15" i="7"/>
  <c r="E38" i="7" l="1"/>
  <c r="G38" i="7" s="1"/>
  <c r="C25" i="19"/>
  <c r="C27" i="19" s="1"/>
  <c r="F23" i="7"/>
  <c r="F37" i="7" s="1"/>
  <c r="F38" i="7" s="1"/>
  <c r="F39" i="7" s="1"/>
  <c r="E39" i="7" l="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41" authorId="2">
      <text>
        <r>
          <rPr>
            <sz val="9"/>
            <color indexed="8"/>
            <rFont val="ＭＳ Ｐゴシック"/>
            <family val="3"/>
            <charset val="128"/>
          </rPr>
          <t xml:space="preserve">総償却額÷年償却額
</t>
        </r>
      </text>
    </comment>
    <comment ref="J42" authorId="2">
      <text>
        <r>
          <rPr>
            <sz val="9"/>
            <color indexed="8"/>
            <rFont val="ＭＳ Ｐゴシック"/>
            <family val="3"/>
            <charset val="128"/>
          </rPr>
          <t xml:space="preserve">平均負担価格
＝（負担価格－残存価格）÷２＋残存価格
耐用年数の中間年の評価額
</t>
        </r>
      </text>
    </comment>
    <comment ref="Q45"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<sst xmlns="http://schemas.openxmlformats.org/spreadsheetml/2006/main" count="1464" uniqueCount="779">
  <si>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</si>
  <si>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</si>
  <si>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</si>
  <si>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</si>
  <si>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</si>
  <si>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</si>
  <si>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</si>
  <si>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</si>
  <si>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</si>
  <si>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</si>
  <si>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</si>
  <si>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</si>
  <si>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</si>
  <si>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</si>
  <si>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</si>
  <si>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</si>
  <si>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</si>
  <si>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</si>
  <si>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</si>
  <si>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</si>
  <si>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</si>
  <si>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</si>
  <si>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</si>
  <si>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</si>
  <si>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</si>
  <si>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</si>
  <si>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</si>
  <si>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</si>
  <si>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</si>
  <si>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</si>
  <si>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</si>
  <si>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</si>
  <si>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</si>
  <si>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</si>
  <si>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</si>
  <si>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</si>
  <si>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</si>
  <si>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</si>
  <si>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小 計(3)</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</si>
  <si>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</si>
  <si>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</si>
  <si>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</si>
  <si>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</si>
  <si>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</si>
  <si>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</si>
  <si>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</si>
  <si>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</si>
  <si>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</si>
  <si>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</si>
  <si>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</si>
  <si>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</si>
  <si>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</si>
  <si>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</si>
  <si>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</si>
  <si>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</si>
  <si>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</si>
  <si>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</si>
  <si>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</si>
  <si>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</si>
  <si>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</si>
  <si>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</si>
  <si>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</si>
  <si>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</si>
  <si>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</si>
  <si>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</si>
  <si>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</si>
  <si>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</si>
  <si>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</si>
  <si>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</si>
  <si>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</si>
  <si>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</si>
  <si>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</si>
  <si>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</si>
  <si>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</si>
  <si>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</si>
  <si>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</si>
  <si>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</si>
  <si>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</si>
  <si>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</si>
  <si>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</si>
  <si>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</si>
  <si>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</si>
  <si>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</si>
  <si>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</si>
  <si>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</si>
  <si>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</si>
  <si>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</si>
  <si>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</si>
  <si>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</si>
  <si>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</si>
  <si>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</si>
  <si>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</si>
  <si>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</si>
  <si>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</si>
  <si>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</si>
  <si>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</si>
  <si>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</si>
  <si>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</si>
  <si>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</si>
  <si>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</si>
  <si>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</si>
  <si>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</si>
  <si>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</si>
  <si>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</si>
  <si>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</si>
  <si>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</si>
  <si>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</si>
  <si>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</si>
  <si>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</si>
  <si>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</si>
  <si>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</si>
  <si>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</si>
  <si>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</si>
  <si>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</si>
  <si>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</si>
  <si>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</si>
  <si>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</si>
  <si>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</si>
  <si>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</si>
  <si>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</si>
  <si>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</si>
  <si>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</si>
  <si>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</si>
  <si>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</si>
  <si>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</si>
  <si>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</si>
  <si>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</si>
  <si>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</si>
  <si>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</si>
  <si>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</si>
  <si>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</si>
  <si>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</si>
  <si>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</si>
  <si>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</si>
  <si>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</si>
  <si>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</si>
  <si>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t>
  </si>
  <si>
    <t>■■■</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</si>
  <si>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</si>
  <si>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</si>
  <si>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</si>
  <si>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</si>
  <si>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</si>
  <si>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</si>
  <si>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</si>
  <si>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</si>
  <si>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</si>
  <si>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</si>
  <si>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</si>
  <si>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</si>
  <si>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</si>
  <si>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</si>
  <si>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</si>
  <si>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</si>
  <si>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</si>
  <si>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</si>
  <si>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</si>
  <si>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</si>
  <si>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</si>
  <si>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</si>
  <si>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</si>
  <si>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</si>
  <si>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</si>
  <si>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</si>
  <si>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</si>
  <si>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</si>
  <si>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</si>
  <si>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</si>
  <si>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</si>
  <si>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</si>
  <si>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</si>
  <si>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</si>
  <si>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</si>
  <si>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</si>
  <si>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</si>
  <si>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</si>
  <si>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</si>
  <si>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</si>
  <si>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</si>
  <si>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</si>
  <si>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</si>
  <si>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</si>
  <si>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</si>
  <si>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</si>
  <si>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</si>
  <si>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</si>
  <si>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</si>
  <si>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</si>
  <si>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</si>
  <si>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</si>
  <si>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</si>
  <si>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</si>
  <si>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</si>
  <si>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</si>
  <si>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</si>
  <si>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</si>
  <si>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</si>
  <si>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</si>
  <si>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</si>
  <si>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</si>
  <si>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</si>
  <si>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</si>
  <si>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</si>
  <si>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</si>
  <si>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</si>
  <si>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</si>
  <si>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</si>
  <si>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</si>
  <si>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</si>
  <si>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</si>
  <si>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</si>
  <si>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</si>
  <si>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</si>
  <si>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</si>
  <si>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</si>
  <si>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</si>
  <si>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</si>
  <si>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</si>
  <si>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</si>
  <si>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</si>
  <si>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</si>
  <si>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</si>
  <si>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</si>
  <si>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</si>
  <si>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</si>
  <si>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</si>
  <si>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</si>
  <si>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</si>
  <si>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</si>
  <si>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</si>
  <si>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</si>
  <si>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</si>
  <si>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</si>
  <si>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</si>
  <si>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</si>
  <si>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</si>
  <si>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</si>
  <si>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</si>
  <si>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</si>
  <si>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</si>
  <si>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</si>
  <si>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</si>
  <si>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</si>
  <si>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</si>
  <si>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</si>
  <si>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</si>
  <si>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</si>
  <si>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</si>
  <si>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</si>
  <si>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</si>
  <si>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</si>
  <si>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</si>
  <si>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</si>
  <si>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</si>
  <si>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</si>
  <si>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</si>
  <si>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</si>
  <si>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</si>
  <si>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</si>
  <si>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</si>
  <si>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</si>
  <si>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</si>
  <si>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</si>
  <si>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</si>
  <si>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</si>
  <si>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</si>
  <si>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</si>
  <si>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</si>
  <si>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</si>
  <si>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</si>
  <si>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</si>
  <si>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</si>
  <si>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</si>
  <si>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</si>
  <si>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</si>
  <si>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</si>
  <si>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</si>
  <si>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</si>
  <si>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</si>
  <si>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</si>
  <si>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</si>
  <si>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</si>
  <si>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</si>
  <si>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</si>
  <si>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収穫</t>
  </si>
  <si>
    <t>棟</t>
    <rPh sb="0" eb="1">
      <t>トウ</t>
    </rPh>
    <phoneticPr fontId="14"/>
  </si>
  <si>
    <t>台</t>
    <rPh sb="0" eb="1">
      <t>ダイ</t>
    </rPh>
    <phoneticPr fontId="14"/>
  </si>
  <si>
    <t>資材・農機具庫</t>
    <rPh sb="0" eb="2">
      <t>シザイ</t>
    </rPh>
    <rPh sb="3" eb="6">
      <t>ノウキグ</t>
    </rPh>
    <rPh sb="6" eb="7">
      <t>コ</t>
    </rPh>
    <phoneticPr fontId="14"/>
  </si>
  <si>
    <t>出荷運賃</t>
  </si>
  <si>
    <t>ＪＡ手数料</t>
  </si>
  <si>
    <t>全農手数料</t>
  </si>
  <si>
    <t>市場手数料</t>
  </si>
  <si>
    <t>機　械</t>
    <rPh sb="0" eb="1">
      <t>キ</t>
    </rPh>
    <rPh sb="2" eb="3">
      <t>カイ</t>
    </rPh>
    <phoneticPr fontId="14"/>
  </si>
  <si>
    <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</si>
  <si>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</si>
  <si>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</si>
  <si>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</si>
  <si>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</si>
  <si>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</si>
  <si>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</si>
  <si>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</si>
  <si>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</si>
  <si>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</si>
  <si>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</si>
  <si>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</si>
  <si>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</si>
  <si>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</si>
  <si>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</si>
  <si>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</si>
  <si>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</si>
  <si>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</si>
  <si>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</si>
  <si>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</si>
  <si>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</si>
  <si>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</si>
  <si>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</si>
  <si>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</si>
  <si>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</si>
  <si>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</si>
  <si>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</si>
  <si>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</si>
  <si>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</si>
  <si>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</si>
  <si>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</si>
  <si>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</si>
  <si>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</si>
  <si>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</si>
  <si>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</si>
  <si>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</si>
  <si>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</si>
  <si>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</si>
  <si>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</si>
  <si>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</si>
  <si>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</si>
  <si>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</si>
  <si>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</si>
  <si>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</si>
  <si>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</si>
  <si>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</si>
  <si>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</si>
  <si>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</si>
  <si>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</si>
  <si>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</si>
  <si>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</si>
  <si>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</si>
  <si>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</si>
  <si>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</si>
  <si>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</si>
  <si>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</si>
  <si>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</si>
  <si>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</si>
  <si>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</si>
  <si>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</si>
  <si>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</si>
  <si>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</si>
  <si>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</si>
  <si>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</si>
  <si>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</si>
  <si>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</si>
  <si>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</si>
  <si>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</si>
  <si>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</si>
  <si>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</si>
  <si>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</si>
  <si>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</si>
  <si>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</si>
  <si>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</si>
  <si>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</si>
  <si>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</si>
  <si>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</si>
  <si>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</si>
  <si>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</si>
  <si>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</si>
  <si>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</si>
  <si>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</si>
  <si>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</si>
  <si>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</si>
  <si>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</si>
  <si>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</si>
  <si>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</si>
  <si>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</si>
  <si>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</si>
  <si>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</si>
  <si>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</si>
  <si>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</si>
  <si>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</si>
  <si>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</si>
  <si>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</si>
  <si>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</si>
  <si>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</si>
  <si>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</si>
  <si>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</si>
  <si>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</si>
  <si>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</si>
  <si>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</si>
  <si>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</si>
  <si>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</si>
  <si>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</si>
  <si>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</si>
  <si>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</si>
  <si>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</si>
  <si>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</si>
  <si>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</si>
  <si>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</si>
  <si>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</si>
  <si>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</si>
  <si>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</si>
  <si>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</si>
  <si>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</si>
  <si>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</si>
  <si>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</si>
  <si>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</si>
  <si>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</si>
  <si>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</si>
  <si>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</si>
  <si>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</si>
  <si>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</si>
  <si>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</si>
  <si>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</si>
  <si>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</si>
  <si>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</si>
  <si>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</si>
  <si>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</si>
  <si>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</si>
  <si>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</si>
  <si>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</si>
  <si>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</si>
  <si>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</si>
  <si>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</si>
  <si>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</si>
  <si>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</si>
  <si>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</si>
  <si>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</si>
  <si>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</si>
  <si>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</si>
  <si>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</si>
  <si>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</si>
  <si>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</si>
  <si>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</si>
  <si>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</si>
  <si>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</si>
  <si>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</si>
  <si>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改良資材散布</t>
  </si>
  <si>
    <t>土壌改良資材散布</t>
  </si>
  <si>
    <t>10下～11上</t>
  </si>
  <si>
    <t>トラクター30ps、ライムソワー、ミネラルGF</t>
  </si>
  <si>
    <t>山口県農業経営指標</t>
  </si>
  <si>
    <t>耕転</t>
  </si>
  <si>
    <t>耕起、砕土、土づくり</t>
  </si>
  <si>
    <t>トラクター30ps、ロータリー</t>
  </si>
  <si>
    <t>畦立・施肥・播種</t>
  </si>
  <si>
    <t>施肥同時播種</t>
  </si>
  <si>
    <t>11下～12上</t>
  </si>
  <si>
    <t>トラクター30ps、ロータリー＋畦整形板＋施肥播種期</t>
  </si>
  <si>
    <t>除草剤散布</t>
  </si>
  <si>
    <t>11中～12上</t>
  </si>
  <si>
    <t>乗用管理機、ブームスプレイヤ</t>
  </si>
  <si>
    <t>病害虫防除・追肥</t>
  </si>
  <si>
    <t>赤かび病防除・開花期追肥（２回）</t>
  </si>
  <si>
    <t>４下～５上</t>
  </si>
  <si>
    <t>緩効性肥料の体系の場合は病害虫防除のみ</t>
  </si>
  <si>
    <t>踏圧</t>
  </si>
  <si>
    <t>3回</t>
  </si>
  <si>
    <t>1下～２下</t>
  </si>
  <si>
    <t>乗用管理機、鎮圧ローラ</t>
  </si>
  <si>
    <t>中耕</t>
  </si>
  <si>
    <t>中耕、雑草管理</t>
  </si>
  <si>
    <t>2中</t>
  </si>
  <si>
    <t>乗用管理機、３連カルチ</t>
  </si>
  <si>
    <t>溝上・土入</t>
  </si>
  <si>
    <t>溝さらえ、土入れ（2回）</t>
  </si>
  <si>
    <t>３上～３中</t>
  </si>
  <si>
    <t>乗用管理機、２連カルチ</t>
  </si>
  <si>
    <t>施肥</t>
  </si>
  <si>
    <t>追肥（２回）</t>
  </si>
  <si>
    <t>1中下、３上</t>
  </si>
  <si>
    <t>乗用管理機、フロントソワー＋3連カルチ</t>
  </si>
  <si>
    <t>コンバイン収穫</t>
  </si>
  <si>
    <t>６上</t>
  </si>
  <si>
    <t>コンバイン</t>
  </si>
  <si>
    <t>出荷</t>
  </si>
  <si>
    <t>軽四輪トラック</t>
  </si>
  <si>
    <t>排水対策</t>
  </si>
  <si>
    <t>心土破砕、額縁明渠</t>
  </si>
  <si>
    <t>10月中下旬</t>
  </si>
  <si>
    <t>トラクター30ps、サブソイラー、溝掘機</t>
  </si>
  <si>
    <t>小麦</t>
    <rPh sb="0" eb="2">
      <t>コムギ</t>
    </rPh>
    <phoneticPr fontId="14"/>
  </si>
  <si>
    <t>畦立条播</t>
    <rPh sb="0" eb="1">
      <t>ウネ</t>
    </rPh>
    <rPh sb="1" eb="2">
      <t>タ</t>
    </rPh>
    <rPh sb="2" eb="3">
      <t>ジョウ</t>
    </rPh>
    <rPh sb="3" eb="4">
      <t>ハリ</t>
    </rPh>
    <phoneticPr fontId="14"/>
  </si>
  <si>
    <t>せときらら</t>
  </si>
  <si>
    <t>平坦地</t>
  </si>
  <si>
    <t>100㎡</t>
  </si>
  <si>
    <t>30ps、ロータリー</t>
  </si>
  <si>
    <t>300ﾘﾄｯﾙ</t>
  </si>
  <si>
    <t>65ﾘｯﾄﾙ</t>
  </si>
  <si>
    <t>４条・畦整形板</t>
    <rPh sb="1" eb="2">
      <t>ジョウ</t>
    </rPh>
    <rPh sb="3" eb="4">
      <t>ウネ</t>
    </rPh>
    <rPh sb="4" eb="6">
      <t>セイケイ</t>
    </rPh>
    <rPh sb="6" eb="7">
      <t>バン</t>
    </rPh>
    <phoneticPr fontId="14"/>
  </si>
  <si>
    <t>4条・48ps・グレンタンク</t>
    <rPh sb="1" eb="2">
      <t>ジョウ</t>
    </rPh>
    <phoneticPr fontId="14"/>
  </si>
  <si>
    <t>10ｍ</t>
  </si>
  <si>
    <t>トラクター</t>
    <phoneticPr fontId="14"/>
  </si>
  <si>
    <t>ライムソワー</t>
  </si>
  <si>
    <t>ライムソワー</t>
    <phoneticPr fontId="14"/>
  </si>
  <si>
    <t>フロントソワー</t>
  </si>
  <si>
    <t>自脱型コンバイン</t>
    <rPh sb="0" eb="1">
      <t>ジ</t>
    </rPh>
    <rPh sb="1" eb="2">
      <t>ダツ</t>
    </rPh>
    <rPh sb="2" eb="3">
      <t>ガタ</t>
    </rPh>
    <phoneticPr fontId="14"/>
  </si>
  <si>
    <t>乗用管理機</t>
    <rPh sb="0" eb="2">
      <t>ジョウヨウ</t>
    </rPh>
    <rPh sb="2" eb="4">
      <t>カンリ</t>
    </rPh>
    <rPh sb="4" eb="5">
      <t>キ</t>
    </rPh>
    <phoneticPr fontId="14"/>
  </si>
  <si>
    <t>ブームスプレーヤ</t>
  </si>
  <si>
    <t>ローラ</t>
    <phoneticPr fontId="14"/>
  </si>
  <si>
    <t>カルチ</t>
    <phoneticPr fontId="14"/>
  </si>
  <si>
    <t>軽四輪トラック</t>
    <phoneticPr fontId="14"/>
  </si>
  <si>
    <t>サブソイラ</t>
  </si>
  <si>
    <t>サブソイラ</t>
    <phoneticPr fontId="14"/>
  </si>
  <si>
    <t>溝掘機</t>
    <phoneticPr fontId="14"/>
  </si>
  <si>
    <t>改良資材散布</t>
    <rPh sb="0" eb="2">
      <t>カイリョウ</t>
    </rPh>
    <rPh sb="2" eb="4">
      <t>シザイ</t>
    </rPh>
    <rPh sb="4" eb="6">
      <t>サンプ</t>
    </rPh>
    <phoneticPr fontId="2"/>
  </si>
  <si>
    <t>トラクター30ps</t>
  </si>
  <si>
    <t>ロータリー</t>
  </si>
  <si>
    <t>畦立・施肥・播種</t>
    <rPh sb="0" eb="1">
      <t>ウネ</t>
    </rPh>
    <rPh sb="1" eb="2">
      <t>タ</t>
    </rPh>
    <rPh sb="3" eb="5">
      <t>セヒ</t>
    </rPh>
    <rPh sb="6" eb="8">
      <t>ハシュ</t>
    </rPh>
    <phoneticPr fontId="2"/>
  </si>
  <si>
    <t>ﾛｰﾀﾘｰ＋畦整形板＋施肥播種機</t>
    <rPh sb="6" eb="7">
      <t>ウネ</t>
    </rPh>
    <rPh sb="7" eb="10">
      <t>セイケイバン</t>
    </rPh>
    <rPh sb="11" eb="13">
      <t>セヒ</t>
    </rPh>
    <rPh sb="13" eb="15">
      <t>ハシュ</t>
    </rPh>
    <rPh sb="15" eb="16">
      <t>キ</t>
    </rPh>
    <phoneticPr fontId="2"/>
  </si>
  <si>
    <t>除草剤散布</t>
    <rPh sb="0" eb="3">
      <t>ジョソウザイ</t>
    </rPh>
    <rPh sb="3" eb="5">
      <t>サンプ</t>
    </rPh>
    <phoneticPr fontId="2"/>
  </si>
  <si>
    <t>乗用管理機</t>
    <rPh sb="0" eb="2">
      <t>ジョウヨウ</t>
    </rPh>
    <rPh sb="2" eb="4">
      <t>カンリ</t>
    </rPh>
    <rPh sb="4" eb="5">
      <t>キ</t>
    </rPh>
    <phoneticPr fontId="2"/>
  </si>
  <si>
    <t>ブームスプレイヤ</t>
  </si>
  <si>
    <t>4月下旬</t>
    <rPh sb="1" eb="2">
      <t>ガツ</t>
    </rPh>
    <rPh sb="2" eb="4">
      <t>ゲジュン</t>
    </rPh>
    <phoneticPr fontId="16"/>
  </si>
  <si>
    <t>踏圧</t>
    <rPh sb="0" eb="1">
      <t>トウ</t>
    </rPh>
    <rPh sb="1" eb="2">
      <t>アツ</t>
    </rPh>
    <phoneticPr fontId="2"/>
  </si>
  <si>
    <t>1月下旬</t>
    <rPh sb="1" eb="2">
      <t>ガツ</t>
    </rPh>
    <rPh sb="2" eb="4">
      <t>ゲジュン</t>
    </rPh>
    <phoneticPr fontId="16"/>
  </si>
  <si>
    <t>鎮圧ローラ</t>
    <rPh sb="0" eb="2">
      <t>チンアツ</t>
    </rPh>
    <phoneticPr fontId="2"/>
  </si>
  <si>
    <t>中耕</t>
    <rPh sb="0" eb="2">
      <t>チュウコウ</t>
    </rPh>
    <phoneticPr fontId="2"/>
  </si>
  <si>
    <t>3連ｶﾙﾁ</t>
    <rPh sb="1" eb="2">
      <t>レン</t>
    </rPh>
    <phoneticPr fontId="2"/>
  </si>
  <si>
    <t>溝上・土入</t>
    <rPh sb="0" eb="1">
      <t>ミゾ</t>
    </rPh>
    <rPh sb="1" eb="2">
      <t>ア</t>
    </rPh>
    <rPh sb="3" eb="4">
      <t>ツチ</t>
    </rPh>
    <rPh sb="4" eb="5">
      <t>イ</t>
    </rPh>
    <phoneticPr fontId="2"/>
  </si>
  <si>
    <t>2連ｶﾙﾁ</t>
    <rPh sb="1" eb="2">
      <t>レン</t>
    </rPh>
    <phoneticPr fontId="2"/>
  </si>
  <si>
    <t>施肥</t>
    <rPh sb="0" eb="2">
      <t>セヒ</t>
    </rPh>
    <phoneticPr fontId="2"/>
  </si>
  <si>
    <t>ﾌﾛﾝﾄｿﾜｰ＋3連ｶﾙﾁ</t>
    <rPh sb="9" eb="10">
      <t>レン</t>
    </rPh>
    <phoneticPr fontId="2"/>
  </si>
  <si>
    <t>収穫</t>
    <rPh sb="0" eb="2">
      <t>シュウカク</t>
    </rPh>
    <phoneticPr fontId="2"/>
  </si>
  <si>
    <t>出荷</t>
    <rPh sb="0" eb="2">
      <t>シュッカ</t>
    </rPh>
    <phoneticPr fontId="2"/>
  </si>
  <si>
    <t>軽四輪トラック</t>
    <rPh sb="0" eb="1">
      <t>ケイ</t>
    </rPh>
    <rPh sb="1" eb="3">
      <t>ヨンリン</t>
    </rPh>
    <phoneticPr fontId="2"/>
  </si>
  <si>
    <t>2月下旬</t>
    <rPh sb="1" eb="2">
      <t>ガツ</t>
    </rPh>
    <rPh sb="2" eb="4">
      <t>ゲジュン</t>
    </rPh>
    <phoneticPr fontId="16"/>
  </si>
  <si>
    <t>5月上旬</t>
    <rPh sb="1" eb="2">
      <t>ガツ</t>
    </rPh>
    <rPh sb="2" eb="4">
      <t>ジョウジュン</t>
    </rPh>
    <phoneticPr fontId="16"/>
  </si>
  <si>
    <t>溝掘機</t>
    <rPh sb="0" eb="1">
      <t>ミゾ</t>
    </rPh>
    <rPh sb="1" eb="2">
      <t>ホ</t>
    </rPh>
    <rPh sb="2" eb="3">
      <t>キ</t>
    </rPh>
    <phoneticPr fontId="14"/>
  </si>
  <si>
    <t>需要に対応できる麦作栽培指針（H16.11)</t>
    <rPh sb="0" eb="2">
      <t>ジュヨウ</t>
    </rPh>
    <rPh sb="3" eb="5">
      <t>タイオウ</t>
    </rPh>
    <rPh sb="8" eb="9">
      <t>バク</t>
    </rPh>
    <rPh sb="9" eb="10">
      <t>サク</t>
    </rPh>
    <rPh sb="10" eb="12">
      <t>サイバイ</t>
    </rPh>
    <rPh sb="12" eb="14">
      <t>シシン</t>
    </rPh>
    <phoneticPr fontId="2"/>
  </si>
  <si>
    <r>
      <t xml:space="preserve">需要に対応できる麦作栽培指針（H16.11)
</t>
    </r>
    <r>
      <rPr>
        <sz val="11"/>
        <color rgb="FFFF0000"/>
        <rFont val="ＭＳ Ｐゴシック"/>
        <family val="3"/>
        <charset val="128"/>
      </rPr>
      <t>緩効性肥料の体系の場合は病害虫防除のみ</t>
    </r>
    <rPh sb="0" eb="2">
      <t>ジュヨウ</t>
    </rPh>
    <rPh sb="3" eb="5">
      <t>タイオウ</t>
    </rPh>
    <rPh sb="8" eb="9">
      <t>バク</t>
    </rPh>
    <rPh sb="9" eb="10">
      <t>サク</t>
    </rPh>
    <rPh sb="10" eb="12">
      <t>サイバイ</t>
    </rPh>
    <rPh sb="12" eb="14">
      <t>シシン</t>
    </rPh>
    <phoneticPr fontId="2"/>
  </si>
  <si>
    <t>RC１往復</t>
    <rPh sb="3" eb="5">
      <t>オウフク</t>
    </rPh>
    <phoneticPr fontId="2"/>
  </si>
  <si>
    <r>
      <t xml:space="preserve">需要に対応できる麦作栽培指針（H16.11)
</t>
    </r>
    <r>
      <rPr>
        <sz val="11"/>
        <color rgb="FFFF0000"/>
        <rFont val="ＭＳ Ｐゴシック"/>
        <family val="3"/>
        <charset val="128"/>
      </rPr>
      <t>1ほ場の面積を30ａ（30ｍ×100m）と想定</t>
    </r>
    <rPh sb="0" eb="2">
      <t>ジュヨウ</t>
    </rPh>
    <rPh sb="3" eb="5">
      <t>タイオウ</t>
    </rPh>
    <rPh sb="8" eb="9">
      <t>バク</t>
    </rPh>
    <rPh sb="9" eb="10">
      <t>サク</t>
    </rPh>
    <rPh sb="10" eb="12">
      <t>サイバイ</t>
    </rPh>
    <rPh sb="12" eb="14">
      <t>シシン</t>
    </rPh>
    <phoneticPr fontId="2"/>
  </si>
  <si>
    <t>H24年産ニシノカオリ種子価格</t>
    <rPh sb="3" eb="4">
      <t>ネン</t>
    </rPh>
    <rPh sb="4" eb="5">
      <t>サン</t>
    </rPh>
    <rPh sb="11" eb="13">
      <t>シュシ</t>
    </rPh>
    <rPh sb="13" eb="15">
      <t>カカク</t>
    </rPh>
    <phoneticPr fontId="14"/>
  </si>
  <si>
    <t>炭酸苦土石灰</t>
  </si>
  <si>
    <t>燐加安444</t>
  </si>
  <si>
    <t>尿素</t>
    <rPh sb="0" eb="2">
      <t>ニョウソ</t>
    </rPh>
    <phoneticPr fontId="31"/>
  </si>
  <si>
    <t>ガレース乳剤</t>
  </si>
  <si>
    <t>シルバキュアフロアブル</t>
  </si>
  <si>
    <t>ﾄｯﾌﾟｼﾞﾝM水和剤</t>
  </si>
  <si>
    <t>ｋｇ</t>
  </si>
  <si>
    <t>RC利用料</t>
  </si>
  <si>
    <t>出荷袋</t>
  </si>
  <si>
    <t>一般管理費</t>
    <rPh sb="0" eb="2">
      <t>イッパン</t>
    </rPh>
    <rPh sb="2" eb="5">
      <t>カンリヒ</t>
    </rPh>
    <phoneticPr fontId="31"/>
  </si>
  <si>
    <t>地代</t>
    <rPh sb="0" eb="2">
      <t>チダイ</t>
    </rPh>
    <phoneticPr fontId="31"/>
  </si>
  <si>
    <t>小麦共済</t>
    <rPh sb="0" eb="2">
      <t>コムギ</t>
    </rPh>
    <rPh sb="2" eb="4">
      <t>キョウサイ</t>
    </rPh>
    <phoneticPr fontId="31"/>
  </si>
  <si>
    <t>△</t>
  </si>
  <si>
    <t>▽</t>
  </si>
  <si>
    <t>▼</t>
  </si>
  <si>
    <t>▲</t>
  </si>
  <si>
    <t>○</t>
    <phoneticPr fontId="14"/>
  </si>
  <si>
    <t>販売量(kg)</t>
    <phoneticPr fontId="14"/>
  </si>
  <si>
    <t>単価(円)</t>
    <rPh sb="3" eb="4">
      <t>エン</t>
    </rPh>
    <phoneticPr fontId="14"/>
  </si>
  <si>
    <t>合計
(円/10a)</t>
    <rPh sb="0" eb="2">
      <t>ゴウケイ</t>
    </rPh>
    <phoneticPr fontId="14"/>
  </si>
  <si>
    <t>式</t>
    <rPh sb="0" eb="1">
      <t>シキ</t>
    </rPh>
    <phoneticPr fontId="14"/>
  </si>
  <si>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</si>
  <si>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</si>
  <si>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7">
      <t>ダイ</t>
    </rPh>
    <rPh sb="7" eb="9">
      <t>ショクブツ</t>
    </rPh>
    <rPh sb="10" eb="11">
      <t>ネン</t>
    </rPh>
    <rPh sb="11" eb="13">
      <t>ショウキャク</t>
    </rPh>
    <rPh sb="13" eb="14">
      <t>ヒ</t>
    </rPh>
    <rPh sb="18" eb="19">
      <t>ア</t>
    </rPh>
    <phoneticPr fontId="14"/>
  </si>
  <si>
    <t>基幹労働</t>
    <rPh sb="0" eb="2">
      <t>キカン</t>
    </rPh>
    <rPh sb="2" eb="4">
      <t>ロウドウ</t>
    </rPh>
    <phoneticPr fontId="14"/>
  </si>
  <si>
    <t>補助労働</t>
    <rPh sb="0" eb="2">
      <t>ホジョ</t>
    </rPh>
    <rPh sb="2" eb="4">
      <t>ロウドウ</t>
    </rPh>
    <phoneticPr fontId="14"/>
  </si>
  <si>
    <t>機械利用
時間</t>
    <phoneticPr fontId="14"/>
  </si>
  <si>
    <t>労働費</t>
    <rPh sb="0" eb="3">
      <t>ロウドウヒ</t>
    </rPh>
    <phoneticPr fontId="14"/>
  </si>
  <si>
    <t>基幹労働</t>
    <rPh sb="0" eb="2">
      <t>キカン</t>
    </rPh>
    <rPh sb="2" eb="4">
      <t>ロウドウ</t>
    </rPh>
    <phoneticPr fontId="31"/>
  </si>
  <si>
    <t>補助労働</t>
    <rPh sb="0" eb="2">
      <t>ホジョ</t>
    </rPh>
    <rPh sb="2" eb="4">
      <t>ロウドウ</t>
    </rPh>
    <phoneticPr fontId="31"/>
  </si>
  <si>
    <t>植付本数</t>
    <rPh sb="0" eb="2">
      <t>ウエツケ</t>
    </rPh>
    <rPh sb="2" eb="4">
      <t>ホンスウ</t>
    </rPh>
    <phoneticPr fontId="14"/>
  </si>
  <si>
    <t>播種量</t>
    <rPh sb="0" eb="2">
      <t>ハシュ</t>
    </rPh>
    <rPh sb="2" eb="3">
      <t>リョウ</t>
    </rPh>
    <phoneticPr fontId="14"/>
  </si>
  <si>
    <t>飼養頭数</t>
    <rPh sb="0" eb="2">
      <t>シヨウ</t>
    </rPh>
    <rPh sb="2" eb="4">
      <t>トウスウ</t>
    </rPh>
    <phoneticPr fontId="14"/>
  </si>
  <si>
    <t>種類</t>
    <rPh sb="0" eb="2">
      <t>シュルイ</t>
    </rPh>
    <phoneticPr fontId="14"/>
  </si>
  <si>
    <t>10a当たり</t>
    <rPh sb="3" eb="4">
      <t>ア</t>
    </rPh>
    <phoneticPr fontId="14"/>
  </si>
  <si>
    <t>本</t>
    <rPh sb="0" eb="1">
      <t>ホン</t>
    </rPh>
    <phoneticPr fontId="14"/>
  </si>
  <si>
    <t>kg</t>
  </si>
  <si>
    <t>kg</t>
    <phoneticPr fontId="14"/>
  </si>
  <si>
    <t>頭</t>
    <rPh sb="0" eb="1">
      <t>トウ</t>
    </rPh>
    <phoneticPr fontId="14"/>
  </si>
  <si>
    <t>単位</t>
    <rPh sb="0" eb="2">
      <t>タンイ</t>
    </rPh>
    <phoneticPr fontId="14"/>
  </si>
  <si>
    <t>自家労賃を含む</t>
    <rPh sb="0" eb="2">
      <t>ジカ</t>
    </rPh>
    <rPh sb="2" eb="4">
      <t>ロウチン</t>
    </rPh>
    <rPh sb="5" eb="6">
      <t>フク</t>
    </rPh>
    <phoneticPr fontId="14"/>
  </si>
  <si>
    <t>補助労働(ア)</t>
    <rPh sb="0" eb="2">
      <t>ホジョ</t>
    </rPh>
    <rPh sb="2" eb="4">
      <t>ロウドウ</t>
    </rPh>
    <phoneticPr fontId="14"/>
  </si>
  <si>
    <t>備考</t>
    <rPh sb="0" eb="2">
      <t>ビコウ</t>
    </rPh>
    <phoneticPr fontId="14"/>
  </si>
  <si>
    <t>施肥播種機</t>
    <rPh sb="0" eb="2">
      <t>セヒ</t>
    </rPh>
    <rPh sb="2" eb="4">
      <t>ハシュ</t>
    </rPh>
    <rPh sb="4" eb="5">
      <t>キ</t>
    </rPh>
    <phoneticPr fontId="14"/>
  </si>
  <si>
    <t>数量払32,050円、品質加算12,750円、戦略作物助成15,000円</t>
    <rPh sb="0" eb="2">
      <t>スウリョウ</t>
    </rPh>
    <rPh sb="2" eb="3">
      <t>バラ</t>
    </rPh>
    <rPh sb="9" eb="10">
      <t>エン</t>
    </rPh>
    <rPh sb="11" eb="13">
      <t>ヒンシツ</t>
    </rPh>
    <rPh sb="13" eb="15">
      <t>カサン</t>
    </rPh>
    <rPh sb="21" eb="22">
      <t>エン</t>
    </rPh>
    <rPh sb="23" eb="25">
      <t>センリャク</t>
    </rPh>
    <rPh sb="25" eb="27">
      <t>サクモツ</t>
    </rPh>
    <rPh sb="27" eb="29">
      <t>ジョセイ</t>
    </rPh>
    <rPh sb="35" eb="36">
      <t>エン</t>
    </rPh>
    <phoneticPr fontId="14"/>
  </si>
  <si>
    <t>H27年平均価格　石油情報センターより</t>
    <rPh sb="3" eb="4">
      <t>ネン</t>
    </rPh>
    <rPh sb="4" eb="6">
      <t>ヘイキン</t>
    </rPh>
    <rPh sb="6" eb="8">
      <t>カカク</t>
    </rPh>
    <rPh sb="9" eb="11">
      <t>セキユ</t>
    </rPh>
    <rPh sb="11" eb="13">
      <t>ジョウホウ</t>
    </rPh>
    <phoneticPr fontId="14"/>
  </si>
  <si>
    <t>混合油</t>
    <rPh sb="0" eb="2">
      <t>コンゴウ</t>
    </rPh>
    <rPh sb="2" eb="3">
      <t>ユ</t>
    </rPh>
    <phoneticPr fontId="14"/>
  </si>
  <si>
    <t>オイル(自動計算)</t>
    <rPh sb="4" eb="6">
      <t>ジドウ</t>
    </rPh>
    <rPh sb="6" eb="8">
      <t>ケイサン</t>
    </rPh>
    <phoneticPr fontId="14"/>
  </si>
  <si>
    <t>その他燃料</t>
    <phoneticPr fontId="14"/>
  </si>
  <si>
    <t>小 計(1)</t>
    <phoneticPr fontId="14"/>
  </si>
  <si>
    <t>小 計(4)</t>
    <phoneticPr fontId="14"/>
  </si>
  <si>
    <t>田</t>
  </si>
  <si>
    <t>該当しない</t>
  </si>
  <si>
    <t>山口県最低賃金（H28.10.1）</t>
    <phoneticPr fontId="14"/>
  </si>
  <si>
    <t>技術体系の活用方法</t>
    <rPh sb="0" eb="2">
      <t>ギジュツ</t>
    </rPh>
    <rPh sb="2" eb="4">
      <t>タイケイ</t>
    </rPh>
    <rPh sb="5" eb="7">
      <t>カツヨウ</t>
    </rPh>
    <rPh sb="7" eb="9">
      <t>ホウホウ</t>
    </rPh>
    <phoneticPr fontId="14"/>
  </si>
  <si>
    <t>○当品目に新たに取組む場合</t>
    <rPh sb="1" eb="2">
      <t>トウ</t>
    </rPh>
    <rPh sb="2" eb="4">
      <t>ヒンモク</t>
    </rPh>
    <rPh sb="5" eb="6">
      <t>アラ</t>
    </rPh>
    <rPh sb="8" eb="9">
      <t>ト</t>
    </rPh>
    <rPh sb="9" eb="10">
      <t>ク</t>
    </rPh>
    <rPh sb="11" eb="13">
      <t>バアイ</t>
    </rPh>
    <phoneticPr fontId="14"/>
  </si>
  <si>
    <t>○当品目にすでに取組んでいる場合</t>
    <rPh sb="1" eb="2">
      <t>トウ</t>
    </rPh>
    <rPh sb="2" eb="4">
      <t>ヒンモク</t>
    </rPh>
    <rPh sb="8" eb="10">
      <t>トリク</t>
    </rPh>
    <rPh sb="14" eb="16">
      <t>バアイ</t>
    </rPh>
    <phoneticPr fontId="14"/>
  </si>
  <si>
    <t>具体的な作業手順</t>
    <rPh sb="0" eb="3">
      <t>グタイテキ</t>
    </rPh>
    <rPh sb="4" eb="6">
      <t>サギョウ</t>
    </rPh>
    <rPh sb="6" eb="8">
      <t>テジュン</t>
    </rPh>
    <phoneticPr fontId="14"/>
  </si>
  <si>
    <t>・想定面積、確保可能な労力、資材等単価を入力することで、事前に収益・必要な労力等を試算することができます。</t>
    <rPh sb="1" eb="3">
      <t>ソウテイ</t>
    </rPh>
    <rPh sb="3" eb="5">
      <t>メンセキ</t>
    </rPh>
    <rPh sb="6" eb="8">
      <t>カクホ</t>
    </rPh>
    <rPh sb="8" eb="10">
      <t>カノウ</t>
    </rPh>
    <rPh sb="11" eb="13">
      <t>ロウリョク</t>
    </rPh>
    <rPh sb="14" eb="17">
      <t>シザイトウ</t>
    </rPh>
    <rPh sb="17" eb="19">
      <t>タンカ</t>
    </rPh>
    <rPh sb="20" eb="22">
      <t>ニュウリョク</t>
    </rPh>
    <rPh sb="28" eb="30">
      <t>ジゼン</t>
    </rPh>
    <rPh sb="31" eb="33">
      <t>シュウエキ</t>
    </rPh>
    <rPh sb="34" eb="36">
      <t>ヒツヨウ</t>
    </rPh>
    <rPh sb="37" eb="39">
      <t>ロウリョク</t>
    </rPh>
    <rPh sb="39" eb="40">
      <t>ナド</t>
    </rPh>
    <rPh sb="41" eb="43">
      <t>シサン</t>
    </rPh>
    <phoneticPr fontId="14"/>
  </si>
  <si>
    <t>・Z-BFMを活用し、当品目を導入することによる経営全体への影響(収支、労力配分等)を、事前に試算することができます。</t>
    <rPh sb="7" eb="9">
      <t>カツヨウ</t>
    </rPh>
    <rPh sb="11" eb="12">
      <t>トウ</t>
    </rPh>
    <rPh sb="12" eb="14">
      <t>ヒンモク</t>
    </rPh>
    <rPh sb="15" eb="17">
      <t>ドウニュウ</t>
    </rPh>
    <rPh sb="24" eb="26">
      <t>ケイエイ</t>
    </rPh>
    <rPh sb="26" eb="28">
      <t>ゼンタイ</t>
    </rPh>
    <rPh sb="30" eb="32">
      <t>エイキョウ</t>
    </rPh>
    <rPh sb="33" eb="35">
      <t>シュウシ</t>
    </rPh>
    <rPh sb="36" eb="38">
      <t>ロウリョク</t>
    </rPh>
    <rPh sb="38" eb="40">
      <t>ハイブン</t>
    </rPh>
    <rPh sb="40" eb="41">
      <t>ナド</t>
    </rPh>
    <rPh sb="44" eb="46">
      <t>ジゼン</t>
    </rPh>
    <rPh sb="47" eb="49">
      <t>シサン</t>
    </rPh>
    <phoneticPr fontId="14"/>
  </si>
  <si>
    <t>作業内容</t>
    <rPh sb="0" eb="2">
      <t>サギョウ</t>
    </rPh>
    <rPh sb="2" eb="4">
      <t>ナイヨウ</t>
    </rPh>
    <phoneticPr fontId="14"/>
  </si>
  <si>
    <t>想定面積を入力</t>
    <phoneticPr fontId="14"/>
  </si>
  <si>
    <t>自家労力・補助労力の上限を入力</t>
    <phoneticPr fontId="14"/>
  </si>
  <si>
    <t>資材単価・手数料等を実際の数値に修正</t>
    <phoneticPr fontId="14"/>
  </si>
  <si>
    <t>作業シート</t>
    <rPh sb="0" eb="2">
      <t>サギョウ</t>
    </rPh>
    <phoneticPr fontId="14"/>
  </si>
  <si>
    <t>作業箇所</t>
    <rPh sb="0" eb="2">
      <t>サギョウ</t>
    </rPh>
    <rPh sb="2" eb="4">
      <t>カショ</t>
    </rPh>
    <phoneticPr fontId="14"/>
  </si>
  <si>
    <t>①技術体系</t>
    <rPh sb="1" eb="3">
      <t>ギジュツ</t>
    </rPh>
    <rPh sb="3" eb="5">
      <t>タイケイ</t>
    </rPh>
    <phoneticPr fontId="14"/>
  </si>
  <si>
    <t>E2　</t>
    <phoneticPr fontId="14"/>
  </si>
  <si>
    <t>作業体系表</t>
    <rPh sb="0" eb="2">
      <t>サギョウ</t>
    </rPh>
    <rPh sb="2" eb="4">
      <t>タイケイ</t>
    </rPh>
    <rPh sb="4" eb="5">
      <t>ヒョウ</t>
    </rPh>
    <phoneticPr fontId="14"/>
  </si>
  <si>
    <t>行35,36</t>
    <phoneticPr fontId="14"/>
  </si>
  <si>
    <t>⑤支出</t>
    <rPh sb="1" eb="3">
      <t>シシュツ</t>
    </rPh>
    <phoneticPr fontId="14"/>
  </si>
  <si>
    <t>全般</t>
    <rPh sb="0" eb="2">
      <t>ゼンパン</t>
    </rPh>
    <phoneticPr fontId="14"/>
  </si>
  <si>
    <t>②償却資産</t>
    <rPh sb="1" eb="3">
      <t>ショウキャク</t>
    </rPh>
    <rPh sb="3" eb="5">
      <t>シサン</t>
    </rPh>
    <phoneticPr fontId="14"/>
  </si>
  <si>
    <t>④収入</t>
    <rPh sb="1" eb="3">
      <t>シュウニュウ</t>
    </rPh>
    <phoneticPr fontId="14"/>
  </si>
  <si>
    <t>必要に応じて修正</t>
    <rPh sb="0" eb="2">
      <t>ヒツヨウ</t>
    </rPh>
    <rPh sb="3" eb="4">
      <t>オウ</t>
    </rPh>
    <rPh sb="6" eb="8">
      <t>シュウセイ</t>
    </rPh>
    <phoneticPr fontId="14"/>
  </si>
  <si>
    <t>1.当品目の収支・必要労力を試算</t>
    <rPh sb="2" eb="3">
      <t>トウ</t>
    </rPh>
    <rPh sb="3" eb="5">
      <t>ヒンモク</t>
    </rPh>
    <rPh sb="6" eb="8">
      <t>シュウシ</t>
    </rPh>
    <rPh sb="9" eb="11">
      <t>ヒツヨウ</t>
    </rPh>
    <rPh sb="11" eb="13">
      <t>ロウリョク</t>
    </rPh>
    <rPh sb="14" eb="16">
      <t>シサン</t>
    </rPh>
    <phoneticPr fontId="14"/>
  </si>
  <si>
    <t>2.1の結果をZ-BFMに反映</t>
    <rPh sb="4" eb="6">
      <t>ケッカ</t>
    </rPh>
    <rPh sb="13" eb="15">
      <t>ハンエイ</t>
    </rPh>
    <phoneticPr fontId="14"/>
  </si>
  <si>
    <t>名称</t>
    <rPh sb="0" eb="2">
      <t>メイショウ</t>
    </rPh>
    <phoneticPr fontId="14"/>
  </si>
  <si>
    <t>種類</t>
    <phoneticPr fontId="14"/>
  </si>
  <si>
    <t>区分</t>
    <phoneticPr fontId="14"/>
  </si>
  <si>
    <t>耐用年数</t>
    <rPh sb="0" eb="2">
      <t>タイヨウ</t>
    </rPh>
    <rPh sb="2" eb="4">
      <t>ネンスウ</t>
    </rPh>
    <phoneticPr fontId="14"/>
  </si>
  <si>
    <t>取得価格</t>
    <rPh sb="0" eb="2">
      <t>シュトク</t>
    </rPh>
    <rPh sb="2" eb="4">
      <t>カカク</t>
    </rPh>
    <phoneticPr fontId="14"/>
  </si>
  <si>
    <t>歩行用ﾄﾗｸﾀｰ10ｐｓ</t>
  </si>
  <si>
    <t>ﾄﾗｸﾀｰ</t>
    <phoneticPr fontId="14"/>
  </si>
  <si>
    <t>乗用ﾄﾗｸﾀｰ20ｐｓ</t>
  </si>
  <si>
    <t>乗用ﾄﾗｸﾀｰ30ｐｓ</t>
  </si>
  <si>
    <t>乗用ﾄﾗｸﾀｰ40ｐｓ</t>
  </si>
  <si>
    <t>乗用ﾄﾗｸﾀｰ50ｐｓ</t>
  </si>
  <si>
    <t>乗用ﾄﾗｸﾀｰ60ｐｓ</t>
  </si>
  <si>
    <t>乗用ﾄﾗｸﾀｰ70ｐｓ</t>
  </si>
  <si>
    <t>乗用ﾄﾗｸﾀｰ80ｐｓ</t>
  </si>
  <si>
    <t>乗用ﾄﾗｸﾀｰ90ｐｓ</t>
  </si>
  <si>
    <t>ｻﾌﾞｿｲﾗｰ</t>
  </si>
  <si>
    <t>耕土改良用機具</t>
  </si>
  <si>
    <t>ﾄﾚﾝﾁｬｰ</t>
  </si>
  <si>
    <t>ﾌﾟﾗｳ</t>
  </si>
  <si>
    <t>耕うん・砕土・整地用機具</t>
  </si>
  <si>
    <t>ﾛｰﾀﾘｰ</t>
  </si>
  <si>
    <t>鎮圧機</t>
  </si>
  <si>
    <t>畝立てﾏﾙﾁｬｰ</t>
  </si>
  <si>
    <t>うね立て・マルチ用機具</t>
  </si>
  <si>
    <t>ﾌﾞﾛｰﾄﾞｷｬｽﾀｰ</t>
  </si>
  <si>
    <t>施肥・播種用機具</t>
  </si>
  <si>
    <t>ﾗｲﾑｿﾜｰ</t>
  </si>
  <si>
    <t>ﾏﾆｭｱｽﾌﾟﾚｯﾀｰ</t>
  </si>
  <si>
    <t>ｼｰﾄﾞﾄﾞﾘﾙ</t>
  </si>
  <si>
    <t>ﾎﾟﾃﾄﾌﾟﾗﾝﾀｰ</t>
  </si>
  <si>
    <t>水稲直播機</t>
  </si>
  <si>
    <t>育苗用播種機</t>
  </si>
  <si>
    <t>育苗用機具</t>
  </si>
  <si>
    <t>育苗機</t>
  </si>
  <si>
    <t>田植機4条歩行型</t>
  </si>
  <si>
    <t>田植機</t>
  </si>
  <si>
    <t>田植機4条乗用（施肥機付き）</t>
  </si>
  <si>
    <t>田植機6条乗用（施肥機付き）</t>
  </si>
  <si>
    <t>田植機8条乗用（施肥機付き）</t>
  </si>
  <si>
    <t>ｷｬﾍﾞﾂ用移植機</t>
  </si>
  <si>
    <t>野菜用移植機</t>
  </si>
  <si>
    <t>ﾀﾏﾈｷﾞ移植機</t>
  </si>
  <si>
    <t>中耕除草機</t>
  </si>
  <si>
    <t>管理用機具</t>
  </si>
  <si>
    <t>畦塗り機</t>
  </si>
  <si>
    <t>動力噴霧機</t>
  </si>
  <si>
    <t>ｽﾋﾟｰﾄﾞｽﾌﾟﾚﾔｰ</t>
  </si>
  <si>
    <t>動力散粉機</t>
  </si>
  <si>
    <t>ﾊﾞｲﾝﾀﾞｰ</t>
  </si>
  <si>
    <t>収穫用機具</t>
  </si>
  <si>
    <t>自脱型ｺﾝﾊﾞｲﾝ</t>
  </si>
  <si>
    <t>汎用型ｺﾝﾊﾞｲﾝ</t>
  </si>
  <si>
    <t>脱穀機</t>
  </si>
  <si>
    <t>乾燥・調製用機具（米・麦・雑穀用）</t>
  </si>
  <si>
    <t>乾燥機</t>
  </si>
  <si>
    <t>籾摺り機</t>
  </si>
  <si>
    <t>精米機</t>
  </si>
  <si>
    <t>ﾎﾟﾃﾄﾃﾞィｶﾞｰ</t>
  </si>
  <si>
    <t>収穫・調製用機具</t>
  </si>
  <si>
    <t>ﾎﾟﾃﾄﾊｰﾍﾞｽﾀｰ</t>
  </si>
  <si>
    <t>大豆用ｺﾝﾊﾞｲﾝ</t>
  </si>
  <si>
    <t>ﾋﾞｰﾝﾊｰﾍﾞｽﾀｰ</t>
  </si>
  <si>
    <t>大豆脱粒機</t>
  </si>
  <si>
    <t>大豆選別機</t>
  </si>
  <si>
    <t>ｻﾄｲﾓ掘取機</t>
  </si>
  <si>
    <t>ﾀﾏﾈｷﾞ掘取機</t>
  </si>
  <si>
    <t>洗浄機</t>
  </si>
  <si>
    <t>自走式運搬機</t>
  </si>
  <si>
    <t>運搬用機具</t>
  </si>
  <si>
    <t>ﾄﾚｰﾗｰ</t>
  </si>
  <si>
    <t>軽ﾄﾗｯｸ</t>
  </si>
  <si>
    <t>ﾄﾗｯｸ1t</t>
  </si>
  <si>
    <t>穀物搬送ｺﾝﾃﾅ</t>
  </si>
  <si>
    <t>ﾌｫｰｸﾘﾌﾄ</t>
  </si>
  <si>
    <t>ﾌﾛﾝﾄﾛｰﾀﾞｰ</t>
  </si>
  <si>
    <t>刈払機</t>
  </si>
  <si>
    <t>無人ﾍﾘｺﾌﾟﾀ</t>
  </si>
  <si>
    <t>倉庫（100坪)</t>
  </si>
  <si>
    <t>作業舎（100坪)</t>
  </si>
  <si>
    <t>農機具庫(100坪)</t>
  </si>
  <si>
    <t>貯蔵庫(100坪)</t>
  </si>
  <si>
    <t>堆肥盤(100坪)</t>
  </si>
  <si>
    <t>ﾋﾞﾆｰﾙﾊｳｽ（100坪)</t>
  </si>
  <si>
    <t>鉄骨ﾊｳｽ(100坪)</t>
  </si>
  <si>
    <t>作目名称</t>
    <rPh sb="0" eb="2">
      <t>サクモク</t>
    </rPh>
    <rPh sb="2" eb="4">
      <t>メイショウ</t>
    </rPh>
    <phoneticPr fontId="14"/>
  </si>
  <si>
    <t>類</t>
    <rPh sb="0" eb="1">
      <t>ルイ</t>
    </rPh>
    <phoneticPr fontId="14"/>
  </si>
  <si>
    <t>水稲</t>
  </si>
  <si>
    <t>穀類</t>
    <rPh sb="0" eb="2">
      <t>コクルイ</t>
    </rPh>
    <phoneticPr fontId="14"/>
  </si>
  <si>
    <t>小麦</t>
  </si>
  <si>
    <t>大麦</t>
  </si>
  <si>
    <t>大豆</t>
  </si>
  <si>
    <t>豆類</t>
    <rPh sb="0" eb="2">
      <t>マメルイ</t>
    </rPh>
    <phoneticPr fontId="14"/>
  </si>
  <si>
    <t>アスパラガス</t>
  </si>
  <si>
    <t>野菜</t>
    <rPh sb="0" eb="2">
      <t>ヤサイ</t>
    </rPh>
    <phoneticPr fontId="14"/>
  </si>
  <si>
    <t>イチゴ</t>
  </si>
  <si>
    <t>インゲン</t>
  </si>
  <si>
    <t>乾燥子実</t>
    <rPh sb="0" eb="2">
      <t>カンソウ</t>
    </rPh>
    <rPh sb="2" eb="4">
      <t>シジツ</t>
    </rPh>
    <phoneticPr fontId="14"/>
  </si>
  <si>
    <t>エダマメ</t>
  </si>
  <si>
    <t>未成熟大豆</t>
    <rPh sb="0" eb="3">
      <t>ミセイジュク</t>
    </rPh>
    <rPh sb="3" eb="5">
      <t>ダイズ</t>
    </rPh>
    <phoneticPr fontId="14"/>
  </si>
  <si>
    <t>エンドウ</t>
    <phoneticPr fontId="14"/>
  </si>
  <si>
    <t>オクラ</t>
  </si>
  <si>
    <t>カブ</t>
  </si>
  <si>
    <t>カボチャ</t>
  </si>
  <si>
    <t>カリフラワー</t>
  </si>
  <si>
    <t>カンショ</t>
  </si>
  <si>
    <t>いも類</t>
    <rPh sb="2" eb="3">
      <t>ルイ</t>
    </rPh>
    <phoneticPr fontId="14"/>
  </si>
  <si>
    <t>キャベツ</t>
  </si>
  <si>
    <t>キュウリ</t>
  </si>
  <si>
    <t>ゴボウ</t>
  </si>
  <si>
    <t>コマツナ</t>
  </si>
  <si>
    <t>コンニャク</t>
  </si>
  <si>
    <t>工芸</t>
    <rPh sb="0" eb="2">
      <t>コウゲイ</t>
    </rPh>
    <phoneticPr fontId="14"/>
  </si>
  <si>
    <t>サツマイモ</t>
  </si>
  <si>
    <t>サトイモ</t>
  </si>
  <si>
    <t>サヤインゲン</t>
  </si>
  <si>
    <t>未成熟いんげん</t>
    <rPh sb="0" eb="3">
      <t>ミセイジュク</t>
    </rPh>
    <phoneticPr fontId="14"/>
  </si>
  <si>
    <t>サヤエンドウ</t>
  </si>
  <si>
    <t>未成熟えんどう</t>
    <rPh sb="0" eb="3">
      <t>ミセイジュク</t>
    </rPh>
    <phoneticPr fontId="14"/>
  </si>
  <si>
    <t>ジャガイモ</t>
  </si>
  <si>
    <t>シュンギク</t>
  </si>
  <si>
    <t>ショウガ</t>
  </si>
  <si>
    <t>スイカ</t>
  </si>
  <si>
    <t>セルリー</t>
  </si>
  <si>
    <t>ソバ</t>
  </si>
  <si>
    <t>ソラマメ</t>
  </si>
  <si>
    <t>未成熟</t>
    <rPh sb="0" eb="3">
      <t>ミセイジュク</t>
    </rPh>
    <phoneticPr fontId="14"/>
  </si>
  <si>
    <t>ダイコン</t>
  </si>
  <si>
    <t>タバコ</t>
  </si>
  <si>
    <t>タマネギ</t>
  </si>
  <si>
    <t>チンゲンサイ</t>
  </si>
  <si>
    <t>トウモロコシ</t>
    <phoneticPr fontId="14"/>
  </si>
  <si>
    <t>未成熟とうもろこし</t>
    <rPh sb="0" eb="3">
      <t>ミセイジュク</t>
    </rPh>
    <phoneticPr fontId="14"/>
  </si>
  <si>
    <t>トマト</t>
  </si>
  <si>
    <t>ナガイモ</t>
  </si>
  <si>
    <t>ナス</t>
  </si>
  <si>
    <t>ニラ</t>
  </si>
  <si>
    <t>ニンジン</t>
  </si>
  <si>
    <t>ニンニク</t>
  </si>
  <si>
    <t>ネギ</t>
  </si>
  <si>
    <t>ハクサイ</t>
  </si>
  <si>
    <t>バレイショ</t>
  </si>
  <si>
    <t>ピーマン</t>
  </si>
  <si>
    <t>ヒマワリ</t>
  </si>
  <si>
    <t>油糧</t>
    <rPh sb="0" eb="2">
      <t>ユリョウ</t>
    </rPh>
    <phoneticPr fontId="14"/>
  </si>
  <si>
    <t>ブロッコリー</t>
  </si>
  <si>
    <t>ホウレンソウ</t>
  </si>
  <si>
    <t>ミツバ</t>
  </si>
  <si>
    <t>ミョウガ</t>
  </si>
  <si>
    <t>メロン</t>
  </si>
  <si>
    <t>ヤマトイモ</t>
  </si>
  <si>
    <t>ヤマノイモ</t>
  </si>
  <si>
    <t>レタス</t>
  </si>
  <si>
    <t>レンコン</t>
  </si>
  <si>
    <t>小豆</t>
  </si>
  <si>
    <t>茶</t>
  </si>
  <si>
    <t>・Z-BFMを開く</t>
    <rPh sb="7" eb="8">
      <t>ヒラ</t>
    </rPh>
    <phoneticPr fontId="14"/>
  </si>
  <si>
    <t>・右クリック　→　Z-BFM　→　経営指標　→　新規登録</t>
    <rPh sb="1" eb="2">
      <t>ミギ</t>
    </rPh>
    <rPh sb="17" eb="19">
      <t>ケイエイ</t>
    </rPh>
    <rPh sb="19" eb="21">
      <t>シヒョウ</t>
    </rPh>
    <rPh sb="24" eb="26">
      <t>シンキ</t>
    </rPh>
    <rPh sb="26" eb="28">
      <t>トウロク</t>
    </rPh>
    <phoneticPr fontId="14"/>
  </si>
  <si>
    <t>・当ファイル　シート「Z-BFM」の</t>
    <rPh sb="1" eb="2">
      <t>トウ</t>
    </rPh>
    <phoneticPr fontId="14"/>
  </si>
  <si>
    <t>・Z-BFM　シート「経営指標」の同じ個所に、「値のみ貼付」</t>
    <rPh sb="11" eb="13">
      <t>ケイエイ</t>
    </rPh>
    <rPh sb="13" eb="15">
      <t>シヒョウ</t>
    </rPh>
    <rPh sb="17" eb="18">
      <t>オナ</t>
    </rPh>
    <rPh sb="19" eb="21">
      <t>カショ</t>
    </rPh>
    <rPh sb="24" eb="25">
      <t>アタイ</t>
    </rPh>
    <rPh sb="27" eb="29">
      <t>ハリツケ</t>
    </rPh>
    <phoneticPr fontId="14"/>
  </si>
  <si>
    <t>色のセルを選択、コピー</t>
    <rPh sb="0" eb="1">
      <t>イロ</t>
    </rPh>
    <rPh sb="5" eb="7">
      <t>センタク</t>
    </rPh>
    <phoneticPr fontId="14"/>
  </si>
  <si>
    <t>・右クリック　→　Z-BFM　→　確定</t>
    <rPh sb="1" eb="2">
      <t>ミギ</t>
    </rPh>
    <rPh sb="17" eb="19">
      <t>カクテイ</t>
    </rPh>
    <phoneticPr fontId="14"/>
  </si>
  <si>
    <t>・現状にそった内容に経営指標を修正し、Z-BFMに反映させると、現時点での技術・能力で可能な最適計画を試算することができ、より現実味のある計画を立てることが可能となります。</t>
    <rPh sb="1" eb="3">
      <t>ゲンジョウ</t>
    </rPh>
    <rPh sb="7" eb="9">
      <t>ナイヨウ</t>
    </rPh>
    <rPh sb="10" eb="12">
      <t>ケイエイ</t>
    </rPh>
    <rPh sb="12" eb="14">
      <t>シヒョウ</t>
    </rPh>
    <rPh sb="15" eb="17">
      <t>シュウセイ</t>
    </rPh>
    <rPh sb="25" eb="27">
      <t>ハンエイ</t>
    </rPh>
    <rPh sb="32" eb="35">
      <t>ゲンジテン</t>
    </rPh>
    <rPh sb="37" eb="39">
      <t>ギジュツ</t>
    </rPh>
    <rPh sb="40" eb="42">
      <t>ノウリョク</t>
    </rPh>
    <rPh sb="43" eb="45">
      <t>カノウ</t>
    </rPh>
    <rPh sb="46" eb="48">
      <t>サイテキ</t>
    </rPh>
    <rPh sb="48" eb="50">
      <t>ケイカク</t>
    </rPh>
    <rPh sb="51" eb="53">
      <t>シサン</t>
    </rPh>
    <rPh sb="63" eb="66">
      <t>ゲンジツミ</t>
    </rPh>
    <rPh sb="69" eb="71">
      <t>ケイカク</t>
    </rPh>
    <rPh sb="72" eb="73">
      <t>タ</t>
    </rPh>
    <rPh sb="78" eb="80">
      <t>カノウ</t>
    </rPh>
    <phoneticPr fontId="14"/>
  </si>
  <si>
    <t>・単収、経費等について、指標と実態とを比較することで、改善点を見出すことができます。</t>
    <rPh sb="1" eb="2">
      <t>タン</t>
    </rPh>
    <rPh sb="2" eb="3">
      <t>シュウ</t>
    </rPh>
    <rPh sb="4" eb="6">
      <t>ケイヒ</t>
    </rPh>
    <rPh sb="6" eb="7">
      <t>ナド</t>
    </rPh>
    <rPh sb="12" eb="14">
      <t>シヒョウ</t>
    </rPh>
    <rPh sb="15" eb="17">
      <t>ジッタイ</t>
    </rPh>
    <rPh sb="19" eb="21">
      <t>ヒカク</t>
    </rPh>
    <rPh sb="27" eb="30">
      <t>カイゼンテン</t>
    </rPh>
    <rPh sb="31" eb="33">
      <t>ミイダ</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</si>
</sst>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_ * #,##0.0_ ;[Red]_ * \-#,##0.0_ ;_ * &quot;&quot;??_ ;_ @_ "/>
  </numFmts>
  <fonts count="40">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sz val="11"/>
      <color theme="0"/>
      <name val="ＭＳ Ｐゴシック"/>
      <family val="3"/>
      <charset val="128"/>
    </font>
    <font>
      <sz val="10"/>
      <name val="ＭＳ Ｐゴシック"/>
      <family val="3"/>
      <charset val="128"/>
      <scheme val="minor"/>
    </font>
  </fonts>
  <fills count="26">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s>
  <borders count="241">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top style="thin">
        <color auto="1"/>
      </top>
      <bottom/>
      <diagonal/>
    </border>
    <border>
      <left style="dotted">
        <color auto="1"/>
      </left>
      <right style="dotted">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tted">
        <color auto="1"/>
      </left>
      <right style="dotted">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style="medium">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right style="hair">
        <color indexed="8"/>
      </right>
      <top style="hair">
        <color indexed="8"/>
      </top>
      <bottom/>
      <diagonal/>
    </border>
    <border>
      <left style="medium">
        <color indexed="8"/>
      </left>
      <right style="medium">
        <color indexed="64"/>
      </right>
      <top style="hair">
        <color indexed="8"/>
      </top>
      <bottom/>
      <diagonal/>
    </border>
  </borders>
  <cellStyleXfs count="32">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0" borderId="0">
      <alignment vertical="center"/>
    </xf>
    <xf numFmtId="0" fontId="16" fillId="0" borderId="0"/>
    <xf numFmtId="0" fontId="16" fillId="0" borderId="0"/>
  </cellStyleXfs>
  <cellXfs count="820">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8" xfId="0" applyFill="1" applyBorder="1" applyProtection="1">
      <protection locked="0"/>
    </xf>
    <xf numFmtId="179" fontId="0" fillId="2" borderId="8" xfId="2" applyNumberFormat="1" applyFont="1" applyFill="1" applyBorder="1" applyAlignment="1" applyProtection="1">
      <protection locked="0"/>
    </xf>
    <xf numFmtId="40" fontId="0" fillId="2" borderId="8" xfId="2" applyNumberFormat="1" applyFont="1" applyFill="1" applyBorder="1" applyAlignment="1" applyProtection="1">
      <protection locked="0"/>
    </xf>
    <xf numFmtId="40" fontId="0" fillId="0" borderId="83" xfId="2" applyNumberFormat="1" applyFont="1" applyFill="1" applyBorder="1" applyAlignment="1" applyProtection="1"/>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13" borderId="2" xfId="0"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181" fontId="30" fillId="2" borderId="47" xfId="3" applyNumberFormat="1" applyFont="1" applyFill="1" applyBorder="1" applyAlignment="1" applyProtection="1">
      <alignment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25" fillId="2" borderId="47" xfId="3" applyNumberFormat="1" applyFont="1" applyFill="1" applyBorder="1" applyAlignment="1" applyProtection="1">
      <alignment vertical="center"/>
      <protection locked="0"/>
    </xf>
    <xf numFmtId="3" fontId="30" fillId="2" borderId="47" xfId="3" applyNumberFormat="1" applyFont="1" applyFill="1" applyBorder="1" applyAlignment="1" applyProtection="1">
      <alignment horizontal="center" vertical="center"/>
      <protection locked="0"/>
    </xf>
    <xf numFmtId="9" fontId="30" fillId="2" borderId="47" xfId="1" applyNumberFormat="1" applyFont="1" applyFill="1" applyBorder="1" applyAlignment="1" applyProtection="1">
      <alignment horizontal="center" vertical="center"/>
      <protection locked="0"/>
    </xf>
    <xf numFmtId="0" fontId="9" fillId="2" borderId="85" xfId="3" applyNumberFormat="1" applyFont="1" applyFill="1" applyBorder="1" applyAlignment="1" applyProtection="1">
      <alignment horizontal="left" vertical="center"/>
      <protection locked="0"/>
    </xf>
    <xf numFmtId="181" fontId="23" fillId="2" borderId="85" xfId="3" applyNumberFormat="1" applyFont="1" applyFill="1" applyBorder="1" applyAlignment="1" applyProtection="1">
      <alignment vertical="center"/>
      <protection locked="0"/>
    </xf>
    <xf numFmtId="0" fontId="9" fillId="3" borderId="85" xfId="3" applyNumberFormat="1" applyFont="1" applyFill="1" applyBorder="1" applyAlignment="1" applyProtection="1">
      <alignment horizontal="center" vertical="center"/>
      <protection locked="0"/>
    </xf>
    <xf numFmtId="3" fontId="23" fillId="2" borderId="85" xfId="3" applyNumberFormat="1" applyFont="1" applyFill="1" applyBorder="1" applyAlignment="1" applyProtection="1">
      <alignment horizontal="center" vertical="center"/>
      <protection locked="0"/>
    </xf>
    <xf numFmtId="9" fontId="23" fillId="2" borderId="85" xfId="1" applyNumberFormat="1" applyFont="1" applyFill="1" applyBorder="1" applyAlignment="1" applyProtection="1">
      <alignment horizontal="center" vertical="center"/>
      <protection locked="0"/>
    </xf>
    <xf numFmtId="38" fontId="23" fillId="2" borderId="85" xfId="2" applyFont="1" applyFill="1" applyBorder="1" applyAlignment="1" applyProtection="1">
      <alignment vertical="center"/>
      <protection locked="0"/>
    </xf>
    <xf numFmtId="38" fontId="23" fillId="3" borderId="85" xfId="2" applyFont="1" applyFill="1" applyBorder="1" applyAlignment="1" applyProtection="1">
      <alignment horizontal="center" vertical="center"/>
      <protection locked="0"/>
    </xf>
    <xf numFmtId="38" fontId="23" fillId="11" borderId="85" xfId="2" applyFont="1" applyFill="1" applyBorder="1" applyAlignment="1" applyProtection="1">
      <alignment vertical="center"/>
      <protection locked="0"/>
    </xf>
    <xf numFmtId="38" fontId="23" fillId="2" borderId="86" xfId="2"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9" fontId="23" fillId="2" borderId="85" xfId="1" applyFont="1" applyFill="1" applyBorder="1" applyAlignment="1" applyProtection="1">
      <alignment vertical="center"/>
      <protection locked="0"/>
    </xf>
    <xf numFmtId="9" fontId="23" fillId="2" borderId="88" xfId="1" applyFont="1" applyFill="1" applyBorder="1" applyAlignment="1" applyProtection="1">
      <alignment vertical="center"/>
      <protection locked="0"/>
    </xf>
    <xf numFmtId="181" fontId="23" fillId="7" borderId="89"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1" fontId="23" fillId="7" borderId="86" xfId="3" applyNumberFormat="1" applyFont="1" applyFill="1" applyBorder="1" applyAlignment="1" applyProtection="1">
      <alignment vertical="center"/>
      <protection locked="0"/>
    </xf>
    <xf numFmtId="182" fontId="24" fillId="2" borderId="90" xfId="3" applyNumberFormat="1" applyFont="1" applyFill="1" applyBorder="1" applyAlignment="1" applyProtection="1">
      <alignment vertical="center"/>
      <protection locked="0"/>
    </xf>
    <xf numFmtId="182" fontId="24" fillId="2" borderId="92" xfId="3" applyNumberFormat="1" applyFont="1" applyFill="1" applyBorder="1" applyAlignment="1" applyProtection="1">
      <alignment vertical="center"/>
      <protection locked="0"/>
    </xf>
    <xf numFmtId="181" fontId="23" fillId="16" borderId="94" xfId="3" applyNumberFormat="1" applyFont="1" applyFill="1" applyBorder="1" applyAlignment="1" applyProtection="1">
      <alignment vertical="center"/>
    </xf>
    <xf numFmtId="181" fontId="23" fillId="2" borderId="100" xfId="3" applyNumberFormat="1" applyFont="1" applyFill="1" applyBorder="1" applyAlignment="1" applyProtection="1">
      <alignment vertical="center"/>
      <protection locked="0"/>
    </xf>
    <xf numFmtId="0" fontId="9" fillId="3" borderId="100" xfId="3" applyNumberFormat="1" applyFont="1" applyFill="1" applyBorder="1" applyAlignment="1" applyProtection="1">
      <alignment horizontal="center" vertical="center"/>
      <protection locked="0"/>
    </xf>
    <xf numFmtId="3" fontId="23" fillId="2" borderId="100" xfId="3" applyNumberFormat="1" applyFont="1" applyFill="1" applyBorder="1" applyAlignment="1" applyProtection="1">
      <alignment horizontal="center" vertical="center"/>
      <protection locked="0"/>
    </xf>
    <xf numFmtId="9" fontId="23" fillId="2" borderId="100" xfId="1" applyNumberFormat="1" applyFont="1" applyFill="1" applyBorder="1" applyAlignment="1" applyProtection="1">
      <alignment horizontal="center" vertical="center"/>
      <protection locked="0"/>
    </xf>
    <xf numFmtId="38" fontId="23" fillId="2" borderId="100" xfId="2" applyFont="1" applyFill="1" applyBorder="1" applyAlignment="1" applyProtection="1">
      <alignment vertical="center"/>
      <protection locked="0"/>
    </xf>
    <xf numFmtId="38" fontId="23" fillId="3" borderId="100" xfId="2" applyFont="1" applyFill="1" applyBorder="1" applyAlignment="1" applyProtection="1">
      <alignment horizontal="center" vertical="center"/>
      <protection locked="0"/>
    </xf>
    <xf numFmtId="38" fontId="23" fillId="11" borderId="100" xfId="2" applyFont="1" applyFill="1" applyBorder="1" applyAlignment="1" applyProtection="1">
      <alignment vertical="center"/>
      <protection locked="0"/>
    </xf>
    <xf numFmtId="38" fontId="23" fillId="2" borderId="101" xfId="2"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9" fontId="23" fillId="2" borderId="100" xfId="1" applyFont="1" applyFill="1" applyBorder="1" applyAlignment="1" applyProtection="1">
      <alignment vertical="center"/>
      <protection locked="0"/>
    </xf>
    <xf numFmtId="9" fontId="23" fillId="2" borderId="103" xfId="1" applyFont="1" applyFill="1" applyBorder="1" applyAlignment="1" applyProtection="1">
      <alignment vertical="center"/>
      <protection locked="0"/>
    </xf>
    <xf numFmtId="181" fontId="23" fillId="7" borderId="104"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1" fontId="23" fillId="7" borderId="101" xfId="3" applyNumberFormat="1" applyFont="1" applyFill="1" applyBorder="1" applyAlignment="1" applyProtection="1">
      <alignment vertical="center"/>
      <protection locked="0"/>
    </xf>
    <xf numFmtId="182" fontId="24" fillId="2" borderId="105" xfId="3" applyNumberFormat="1" applyFont="1" applyFill="1" applyBorder="1" applyAlignment="1" applyProtection="1">
      <alignmen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0" fontId="9" fillId="2" borderId="110" xfId="3" applyNumberFormat="1" applyFont="1" applyFill="1" applyBorder="1" applyAlignment="1" applyProtection="1">
      <alignment horizontal="left" vertical="center"/>
      <protection locked="0"/>
    </xf>
    <xf numFmtId="182" fontId="9" fillId="2" borderId="100" xfId="3" applyNumberFormat="1" applyFont="1" applyFill="1" applyBorder="1" applyAlignment="1" applyProtection="1">
      <alignment horizontal="left" vertical="center"/>
      <protection locked="0"/>
    </xf>
    <xf numFmtId="182" fontId="9" fillId="3" borderId="100" xfId="3" applyNumberFormat="1" applyFont="1" applyFill="1" applyBorder="1" applyAlignment="1" applyProtection="1">
      <alignment horizontal="center" vertical="center"/>
      <protection locked="0"/>
    </xf>
    <xf numFmtId="182" fontId="24" fillId="2" borderId="113" xfId="3" applyNumberFormat="1" applyFont="1" applyFill="1" applyBorder="1" applyAlignment="1" applyProtection="1">
      <alignment vertical="center"/>
      <protection locked="0"/>
    </xf>
    <xf numFmtId="182" fontId="32" fillId="2" borderId="113" xfId="3" applyNumberFormat="1" applyFont="1" applyFill="1" applyBorder="1" applyAlignment="1" applyProtection="1">
      <alignment vertical="center"/>
      <protection locked="0"/>
    </xf>
    <xf numFmtId="182" fontId="9" fillId="2" borderId="85" xfId="3" applyNumberFormat="1" applyFont="1" applyFill="1" applyBorder="1" applyAlignment="1" applyProtection="1">
      <alignment vertical="center"/>
      <protection locked="0"/>
    </xf>
    <xf numFmtId="182" fontId="9" fillId="3" borderId="85" xfId="3" applyNumberFormat="1" applyFont="1" applyFill="1" applyBorder="1" applyAlignment="1" applyProtection="1">
      <alignment horizontal="center" vertical="center"/>
      <protection locked="0"/>
    </xf>
    <xf numFmtId="0" fontId="24" fillId="2" borderId="90" xfId="3" applyNumberFormat="1" applyFont="1" applyFill="1" applyBorder="1" applyAlignment="1" applyProtection="1">
      <alignment vertical="center"/>
      <protection locked="0"/>
    </xf>
    <xf numFmtId="0" fontId="24" fillId="2" borderId="113" xfId="3" applyNumberFormat="1" applyFont="1" applyFill="1" applyBorder="1" applyAlignment="1" applyProtection="1">
      <alignment vertical="center"/>
      <protection locked="0"/>
    </xf>
    <xf numFmtId="182" fontId="9" fillId="2" borderId="100" xfId="3" applyNumberFormat="1" applyFont="1" applyFill="1" applyBorder="1" applyAlignment="1" applyProtection="1">
      <alignment vertical="center"/>
      <protection locked="0"/>
    </xf>
    <xf numFmtId="0" fontId="24" fillId="2" borderId="105" xfId="3" applyNumberFormat="1" applyFont="1" applyFill="1" applyBorder="1" applyAlignment="1" applyProtection="1">
      <alignment vertical="center"/>
      <protection locked="0"/>
    </xf>
    <xf numFmtId="14" fontId="9" fillId="2" borderId="100" xfId="3" applyNumberFormat="1" applyFont="1" applyFill="1" applyBorder="1" applyAlignment="1" applyProtection="1">
      <alignment horizontal="left" vertical="center"/>
      <protection locked="0"/>
    </xf>
    <xf numFmtId="0" fontId="9" fillId="2" borderId="100" xfId="3" applyNumberFormat="1" applyFont="1" applyFill="1" applyBorder="1" applyAlignment="1" applyProtection="1">
      <alignment vertical="center"/>
      <protection locked="0"/>
    </xf>
    <xf numFmtId="0" fontId="9" fillId="3" borderId="100" xfId="3" applyFont="1" applyFill="1" applyBorder="1" applyAlignment="1" applyProtection="1">
      <alignment horizontal="center" vertical="center"/>
      <protection locked="0"/>
    </xf>
    <xf numFmtId="0" fontId="0" fillId="13" borderId="2" xfId="0" applyFill="1" applyBorder="1" applyAlignment="1" applyProtection="1">
      <alignment vertical="center"/>
      <protection locked="0"/>
    </xf>
    <xf numFmtId="40" fontId="0" fillId="0" borderId="115" xfId="11" applyNumberFormat="1" applyFont="1" applyFill="1" applyBorder="1" applyAlignment="1" applyProtection="1"/>
    <xf numFmtId="40" fontId="0" fillId="2" borderId="19" xfId="2" applyNumberFormat="1" applyFont="1" applyFill="1" applyBorder="1" applyAlignment="1" applyProtection="1">
      <protection locked="0"/>
    </xf>
    <xf numFmtId="40" fontId="0" fillId="12" borderId="15" xfId="2" applyNumberFormat="1" applyFont="1" applyFill="1" applyBorder="1" applyAlignment="1" applyProtection="1">
      <protection locked="0"/>
    </xf>
    <xf numFmtId="40" fontId="0" fillId="12" borderId="2" xfId="2" applyNumberFormat="1" applyFont="1" applyFill="1" applyBorder="1" applyAlignment="1" applyProtection="1">
      <protection locked="0"/>
    </xf>
    <xf numFmtId="40" fontId="0" fillId="12" borderId="8"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4" fillId="0" borderId="0" xfId="12" applyFont="1" applyAlignment="1">
      <alignment shrinkToFit="1"/>
    </xf>
    <xf numFmtId="0" fontId="34" fillId="0" borderId="0" xfId="12" applyFont="1"/>
    <xf numFmtId="0" fontId="10" fillId="0" borderId="0" xfId="12" applyFont="1"/>
    <xf numFmtId="0" fontId="16" fillId="0" borderId="117" xfId="12" applyBorder="1"/>
    <xf numFmtId="0" fontId="16" fillId="0" borderId="117" xfId="12" applyFont="1" applyBorder="1"/>
    <xf numFmtId="0" fontId="10" fillId="0" borderId="117" xfId="12" applyFont="1" applyBorder="1"/>
    <xf numFmtId="0" fontId="16" fillId="0" borderId="0" xfId="12" applyFill="1" applyBorder="1"/>
    <xf numFmtId="191" fontId="16" fillId="20" borderId="117" xfId="12" applyNumberFormat="1" applyFont="1" applyFill="1" applyBorder="1" applyProtection="1">
      <protection locked="0"/>
    </xf>
    <xf numFmtId="0" fontId="16" fillId="20" borderId="117" xfId="12" applyFill="1" applyBorder="1" applyProtection="1">
      <protection locked="0"/>
    </xf>
    <xf numFmtId="0" fontId="3" fillId="0" borderId="117" xfId="12" applyFont="1" applyBorder="1"/>
    <xf numFmtId="192" fontId="16" fillId="20" borderId="117" xfId="12" applyNumberFormat="1" applyFill="1" applyBorder="1" applyProtection="1">
      <protection locked="0"/>
    </xf>
    <xf numFmtId="193" fontId="16" fillId="20" borderId="117" xfId="12" applyNumberFormat="1" applyFill="1" applyBorder="1" applyAlignment="1" applyProtection="1">
      <protection locked="0"/>
    </xf>
    <xf numFmtId="191" fontId="16" fillId="21" borderId="117"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7" xfId="12" applyNumberFormat="1" applyFill="1" applyBorder="1"/>
    <xf numFmtId="0" fontId="16" fillId="0" borderId="0" xfId="12" applyFont="1" applyFill="1" applyBorder="1"/>
    <xf numFmtId="0" fontId="34" fillId="0" borderId="0" xfId="12" applyFont="1" applyFill="1" applyBorder="1" applyProtection="1">
      <protection locked="0"/>
    </xf>
    <xf numFmtId="0" fontId="3" fillId="0" borderId="0" xfId="12" applyFont="1" applyBorder="1" applyAlignment="1">
      <alignment horizontal="center"/>
    </xf>
    <xf numFmtId="0" fontId="34" fillId="0" borderId="0" xfId="12" applyFont="1" applyBorder="1" applyAlignment="1" applyProtection="1">
      <alignment horizontal="center"/>
      <protection locked="0"/>
    </xf>
    <xf numFmtId="0" fontId="0" fillId="0" borderId="117" xfId="0" applyBorder="1" applyAlignment="1">
      <alignment horizontal="center"/>
    </xf>
    <xf numFmtId="0" fontId="0" fillId="12" borderId="117" xfId="0" applyFill="1" applyBorder="1"/>
    <xf numFmtId="0" fontId="0" fillId="0" borderId="117" xfId="0" applyBorder="1"/>
    <xf numFmtId="0" fontId="0" fillId="7" borderId="117" xfId="0" applyFill="1" applyBorder="1"/>
    <xf numFmtId="0" fontId="0" fillId="22" borderId="117" xfId="0" applyFill="1" applyBorder="1"/>
    <xf numFmtId="0" fontId="0" fillId="23" borderId="117"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3"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39" xfId="2" applyNumberFormat="1" applyFont="1" applyFill="1" applyBorder="1" applyAlignment="1" applyProtection="1">
      <alignment vertical="center"/>
    </xf>
    <xf numFmtId="185" fontId="16" fillId="0" borderId="140" xfId="2" applyNumberFormat="1" applyFont="1" applyFill="1" applyBorder="1" applyAlignment="1" applyProtection="1">
      <alignment vertical="center"/>
    </xf>
    <xf numFmtId="0" fontId="16" fillId="0" borderId="142" xfId="6" applyFont="1" applyBorder="1" applyAlignment="1" applyProtection="1">
      <alignment horizontal="justify" vertical="center" indent="1" shrinkToFit="1"/>
    </xf>
    <xf numFmtId="0" fontId="0" fillId="0" borderId="142" xfId="6" applyFont="1" applyBorder="1" applyAlignment="1" applyProtection="1">
      <alignment horizontal="justify" vertical="center" indent="1" shrinkToFit="1"/>
    </xf>
    <xf numFmtId="185" fontId="16" fillId="0" borderId="143" xfId="2" applyNumberFormat="1" applyFont="1" applyFill="1" applyBorder="1" applyAlignment="1" applyProtection="1">
      <alignment vertical="center"/>
    </xf>
    <xf numFmtId="185" fontId="16" fillId="0" borderId="144" xfId="2" applyNumberFormat="1" applyFont="1" applyFill="1" applyBorder="1" applyAlignment="1" applyProtection="1">
      <alignment vertical="center"/>
    </xf>
    <xf numFmtId="185" fontId="16" fillId="0" borderId="145" xfId="2" applyNumberFormat="1" applyFont="1" applyFill="1" applyBorder="1" applyAlignment="1" applyProtection="1">
      <alignment vertical="center"/>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185" fontId="16" fillId="0" borderId="148"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6"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4" xfId="3" applyNumberFormat="1" applyFont="1" applyFill="1" applyBorder="1" applyAlignment="1" applyProtection="1">
      <alignment horizontal="left" vertical="center"/>
    </xf>
    <xf numFmtId="0" fontId="9" fillId="15" borderId="94" xfId="3" applyNumberFormat="1" applyFont="1" applyFill="1" applyBorder="1" applyAlignment="1" applyProtection="1">
      <alignment horizontal="center" vertical="center"/>
    </xf>
    <xf numFmtId="3" fontId="23" fillId="16" borderId="94" xfId="3" applyNumberFormat="1" applyFont="1" applyFill="1" applyBorder="1" applyAlignment="1" applyProtection="1">
      <alignment horizontal="center" vertical="center"/>
    </xf>
    <xf numFmtId="9" fontId="23" fillId="16" borderId="94" xfId="1" applyNumberFormat="1" applyFont="1" applyFill="1" applyBorder="1" applyAlignment="1" applyProtection="1">
      <alignment horizontal="center" vertical="center"/>
    </xf>
    <xf numFmtId="38" fontId="23" fillId="16" borderId="94" xfId="2" applyFont="1" applyFill="1" applyBorder="1" applyAlignment="1" applyProtection="1">
      <alignment vertical="center"/>
    </xf>
    <xf numFmtId="38" fontId="23" fillId="15" borderId="94" xfId="2" applyFont="1" applyFill="1" applyBorder="1" applyAlignment="1" applyProtection="1">
      <alignment horizontal="center" vertical="center"/>
    </xf>
    <xf numFmtId="38" fontId="23" fillId="17" borderId="94" xfId="2" applyFont="1" applyFill="1" applyBorder="1" applyAlignment="1" applyProtection="1">
      <alignment vertical="center"/>
    </xf>
    <xf numFmtId="38" fontId="23" fillId="16" borderId="95" xfId="2" applyFont="1" applyFill="1" applyBorder="1" applyAlignment="1" applyProtection="1">
      <alignment vertical="center"/>
    </xf>
    <xf numFmtId="9" fontId="23" fillId="16" borderId="96" xfId="1" applyFont="1" applyFill="1" applyBorder="1" applyAlignment="1" applyProtection="1">
      <alignment vertical="center"/>
    </xf>
    <xf numFmtId="9" fontId="23" fillId="16" borderId="94" xfId="1" applyFont="1" applyFill="1" applyBorder="1" applyAlignment="1" applyProtection="1">
      <alignment vertical="center"/>
    </xf>
    <xf numFmtId="9" fontId="23" fillId="16" borderId="97" xfId="1" applyFont="1" applyFill="1" applyBorder="1" applyAlignment="1" applyProtection="1">
      <alignment vertical="center"/>
    </xf>
    <xf numFmtId="181" fontId="23" fillId="18" borderId="98"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1" fontId="23" fillId="18" borderId="95" xfId="3" applyNumberFormat="1" applyFont="1" applyFill="1" applyBorder="1" applyAlignment="1" applyProtection="1">
      <alignment vertical="center"/>
    </xf>
    <xf numFmtId="182" fontId="24" fillId="16" borderId="99"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2" fontId="9" fillId="0" borderId="85" xfId="3" applyNumberFormat="1" applyFont="1" applyFill="1" applyBorder="1" applyAlignment="1" applyProtection="1">
      <alignment vertical="center"/>
    </xf>
    <xf numFmtId="181" fontId="23" fillId="0" borderId="85" xfId="3" applyNumberFormat="1" applyFont="1" applyFill="1" applyBorder="1" applyAlignment="1" applyProtection="1">
      <alignment vertical="center"/>
    </xf>
    <xf numFmtId="182" fontId="9" fillId="0" borderId="47"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100" xfId="3" applyNumberFormat="1" applyFont="1" applyFill="1" applyBorder="1" applyAlignment="1" applyProtection="1">
      <alignment vertical="center"/>
    </xf>
    <xf numFmtId="182" fontId="9" fillId="0" borderId="85" xfId="3" applyNumberFormat="1" applyFont="1" applyFill="1" applyBorder="1" applyAlignment="1" applyProtection="1">
      <alignment horizontal="center" vertical="center"/>
    </xf>
    <xf numFmtId="182" fontId="9" fillId="0" borderId="47" xfId="3" applyNumberFormat="1" applyFont="1" applyFill="1" applyBorder="1" applyAlignment="1" applyProtection="1">
      <alignment horizontal="center" vertical="center"/>
    </xf>
    <xf numFmtId="0" fontId="9" fillId="0" borderId="85"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6" xfId="0" applyFont="1" applyFill="1" applyBorder="1" applyAlignment="1" applyProtection="1">
      <alignment vertical="top" shrinkToFit="1"/>
      <protection locked="0"/>
    </xf>
    <xf numFmtId="0" fontId="23" fillId="12" borderId="7" xfId="0" applyFont="1" applyFill="1" applyBorder="1" applyAlignment="1" applyProtection="1">
      <alignment vertical="top" shrinkToFit="1"/>
      <protection locked="0"/>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0" fontId="0" fillId="12" borderId="2" xfId="0" applyFont="1" applyFill="1" applyBorder="1" applyAlignment="1" applyProtection="1">
      <alignment horizontal="center" vertical="center"/>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19"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5"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1" xfId="2" applyNumberFormat="1" applyFont="1" applyFill="1" applyBorder="1" applyAlignment="1" applyProtection="1">
      <alignment vertical="center"/>
    </xf>
    <xf numFmtId="0" fontId="16" fillId="0" borderId="137"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5"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100" xfId="3" applyNumberFormat="1" applyFont="1" applyFill="1" applyBorder="1" applyAlignment="1" applyProtection="1">
      <alignment vertical="center"/>
      <protection locked="0"/>
    </xf>
    <xf numFmtId="200" fontId="23" fillId="16" borderId="94"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4"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29"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56"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57" xfId="6" applyFont="1" applyBorder="1" applyAlignment="1" applyProtection="1">
      <alignment horizontal="center" vertical="center" textRotation="255" wrapText="1"/>
    </xf>
    <xf numFmtId="0" fontId="16" fillId="0" borderId="158" xfId="6" applyFont="1" applyBorder="1" applyAlignment="1" applyProtection="1">
      <alignment horizontal="center" vertical="center" textRotation="255" wrapText="1"/>
    </xf>
    <xf numFmtId="0" fontId="16" fillId="0" borderId="159"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60" xfId="6" applyFont="1" applyBorder="1" applyAlignment="1" applyProtection="1">
      <alignment horizontal="center" vertical="center"/>
    </xf>
    <xf numFmtId="0" fontId="16" fillId="0" borderId="161"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47"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2" xfId="6" applyFont="1" applyBorder="1" applyAlignment="1" applyProtection="1">
      <alignment horizontal="justify" vertical="center" indent="1"/>
    </xf>
    <xf numFmtId="0" fontId="4" fillId="0" borderId="163" xfId="0" applyFont="1" applyBorder="1" applyAlignment="1" applyProtection="1">
      <alignment horizontal="center" vertical="center"/>
    </xf>
    <xf numFmtId="201" fontId="4" fillId="12" borderId="133"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3" fillId="0" borderId="171" xfId="0" applyNumberFormat="1" applyFont="1" applyBorder="1" applyAlignment="1">
      <alignment vertical="center"/>
    </xf>
    <xf numFmtId="197" fontId="0" fillId="0" borderId="172" xfId="0" applyNumberFormat="1" applyFont="1" applyBorder="1" applyAlignment="1">
      <alignment horizontal="center" vertical="center"/>
    </xf>
    <xf numFmtId="197" fontId="0" fillId="0" borderId="171" xfId="0" applyNumberFormat="1" applyFont="1" applyBorder="1" applyAlignment="1">
      <alignment horizontal="center" vertical="center"/>
    </xf>
    <xf numFmtId="197" fontId="0" fillId="0" borderId="173" xfId="0" applyNumberFormat="1" applyFont="1" applyBorder="1" applyAlignment="1">
      <alignment horizontal="center" vertical="center"/>
    </xf>
    <xf numFmtId="197" fontId="0" fillId="0" borderId="174" xfId="0" applyNumberFormat="1" applyFont="1" applyBorder="1" applyAlignment="1">
      <alignment horizontal="center" vertical="center"/>
    </xf>
    <xf numFmtId="197" fontId="0" fillId="18" borderId="168" xfId="0" applyNumberFormat="1" applyFont="1" applyFill="1" applyBorder="1" applyAlignment="1">
      <alignment horizontal="center" vertical="center"/>
    </xf>
    <xf numFmtId="197" fontId="0" fillId="0" borderId="125" xfId="0" applyNumberFormat="1" applyBorder="1" applyAlignment="1">
      <alignment horizontal="center" vertical="center"/>
    </xf>
    <xf numFmtId="0" fontId="0" fillId="0" borderId="11" xfId="6" applyFont="1" applyBorder="1" applyAlignment="1" applyProtection="1">
      <alignment horizontal="left" vertical="center" indent="1"/>
    </xf>
    <xf numFmtId="0" fontId="9" fillId="16" borderId="190" xfId="3" applyNumberFormat="1" applyFont="1" applyFill="1" applyBorder="1" applyAlignment="1" applyProtection="1">
      <alignment horizontal="left" vertical="center"/>
    </xf>
    <xf numFmtId="181" fontId="23" fillId="18" borderId="191"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4" xfId="3" applyNumberFormat="1" applyFont="1" applyFill="1" applyBorder="1" applyAlignment="1" applyProtection="1">
      <alignment vertical="center"/>
    </xf>
    <xf numFmtId="3" fontId="23" fillId="0" borderId="85"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100"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1" fontId="30" fillId="0" borderId="47" xfId="3" applyNumberFormat="1" applyFont="1" applyFill="1" applyBorder="1" applyAlignment="1" applyProtection="1">
      <alignment vertical="center"/>
    </xf>
    <xf numFmtId="3" fontId="30" fillId="0" borderId="47"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4" fontId="23" fillId="0" borderId="85" xfId="3" applyNumberFormat="1" applyFont="1" applyFill="1" applyBorder="1" applyAlignment="1" applyProtection="1">
      <alignment vertical="center"/>
    </xf>
    <xf numFmtId="4" fontId="23" fillId="0" borderId="47" xfId="3" applyNumberFormat="1" applyFont="1" applyFill="1" applyBorder="1" applyAlignment="1" applyProtection="1">
      <alignment vertical="center"/>
    </xf>
    <xf numFmtId="4" fontId="23" fillId="0" borderId="100" xfId="3" applyNumberFormat="1" applyFont="1" applyFill="1" applyBorder="1" applyAlignment="1" applyProtection="1">
      <alignment vertical="center"/>
    </xf>
    <xf numFmtId="198" fontId="23" fillId="0" borderId="85"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100" xfId="3" applyNumberFormat="1" applyFont="1" applyFill="1" applyBorder="1" applyAlignment="1" applyProtection="1">
      <alignment vertical="center"/>
    </xf>
    <xf numFmtId="38" fontId="16" fillId="12" borderId="163" xfId="2" applyFill="1" applyBorder="1" applyAlignment="1" applyProtection="1">
      <alignment vertical="center"/>
      <protection locked="0"/>
    </xf>
    <xf numFmtId="38" fontId="16" fillId="0" borderId="165" xfId="2" applyBorder="1" applyAlignment="1">
      <alignment vertical="center"/>
    </xf>
    <xf numFmtId="38" fontId="16" fillId="12" borderId="135" xfId="2" applyFill="1" applyBorder="1" applyAlignment="1" applyProtection="1">
      <alignment vertical="center"/>
      <protection locked="0"/>
    </xf>
    <xf numFmtId="38" fontId="16" fillId="0" borderId="130" xfId="2" applyBorder="1" applyAlignment="1">
      <alignment vertical="center"/>
    </xf>
    <xf numFmtId="38" fontId="16" fillId="0" borderId="130" xfId="2" applyBorder="1" applyAlignment="1">
      <alignment horizontal="right" vertical="center"/>
    </xf>
    <xf numFmtId="38" fontId="16" fillId="12" borderId="133" xfId="2" applyFill="1" applyBorder="1" applyAlignment="1" applyProtection="1">
      <alignment vertical="center"/>
      <protection locked="0"/>
    </xf>
    <xf numFmtId="38" fontId="16" fillId="0" borderId="134" xfId="2" applyBorder="1" applyAlignment="1">
      <alignment horizontal="right" vertical="center"/>
    </xf>
    <xf numFmtId="38" fontId="16" fillId="12" borderId="184" xfId="2" applyFill="1" applyBorder="1" applyAlignment="1" applyProtection="1">
      <alignment vertical="center"/>
      <protection locked="0"/>
    </xf>
    <xf numFmtId="38" fontId="16" fillId="0" borderId="127" xfId="2" applyBorder="1" applyAlignment="1">
      <alignment horizontal="right" vertical="center"/>
    </xf>
    <xf numFmtId="38" fontId="16" fillId="18" borderId="180" xfId="2" applyFill="1" applyBorder="1" applyAlignment="1">
      <alignment vertical="center"/>
    </xf>
    <xf numFmtId="38" fontId="16" fillId="18" borderId="182" xfId="2" applyFill="1" applyBorder="1" applyAlignment="1">
      <alignment horizontal="right" vertical="center"/>
    </xf>
    <xf numFmtId="38" fontId="16" fillId="18" borderId="183" xfId="2" applyFill="1" applyBorder="1" applyAlignment="1">
      <alignment horizontal="right" vertical="center"/>
    </xf>
    <xf numFmtId="38" fontId="16" fillId="18" borderId="167" xfId="2" applyFill="1" applyBorder="1" applyAlignment="1">
      <alignment horizontal="right" vertical="center"/>
    </xf>
    <xf numFmtId="38" fontId="16" fillId="12" borderId="175" xfId="2" applyFill="1" applyBorder="1" applyAlignment="1" applyProtection="1">
      <alignment vertical="center"/>
      <protection locked="0"/>
    </xf>
    <xf numFmtId="38" fontId="16" fillId="12" borderId="186" xfId="2" applyFill="1" applyBorder="1" applyAlignment="1" applyProtection="1">
      <alignment vertical="center"/>
      <protection locked="0"/>
    </xf>
    <xf numFmtId="38" fontId="16" fillId="12" borderId="177" xfId="2" applyFill="1" applyBorder="1" applyAlignment="1" applyProtection="1">
      <alignment vertical="center"/>
      <protection locked="0"/>
    </xf>
    <xf numFmtId="38" fontId="16" fillId="12" borderId="187" xfId="2" applyFill="1" applyBorder="1" applyAlignment="1" applyProtection="1">
      <alignment vertical="center"/>
      <protection locked="0"/>
    </xf>
    <xf numFmtId="38" fontId="16" fillId="12" borderId="178" xfId="2" applyFill="1" applyBorder="1" applyAlignment="1" applyProtection="1">
      <alignment vertical="center"/>
      <protection locked="0"/>
    </xf>
    <xf numFmtId="38" fontId="16" fillId="12" borderId="188" xfId="2" applyFill="1" applyBorder="1" applyAlignment="1" applyProtection="1">
      <alignment vertical="center"/>
      <protection locked="0"/>
    </xf>
    <xf numFmtId="38" fontId="16" fillId="12" borderId="179" xfId="2" applyFill="1" applyBorder="1" applyAlignment="1" applyProtection="1">
      <alignment vertical="center"/>
      <protection locked="0"/>
    </xf>
    <xf numFmtId="38" fontId="16" fillId="12" borderId="126" xfId="2" applyFill="1" applyBorder="1" applyAlignment="1" applyProtection="1">
      <alignment vertical="center"/>
      <protection locked="0"/>
    </xf>
    <xf numFmtId="198" fontId="9" fillId="0" borderId="23" xfId="7" applyNumberFormat="1" applyFont="1" applyBorder="1" applyAlignment="1" applyProtection="1">
      <alignment vertical="center"/>
    </xf>
    <xf numFmtId="0" fontId="23" fillId="25" borderId="192" xfId="3" applyNumberFormat="1" applyFont="1" applyFill="1" applyBorder="1" applyAlignment="1" applyProtection="1">
      <alignment horizontal="center" vertical="center"/>
    </xf>
    <xf numFmtId="0" fontId="12" fillId="2" borderId="193" xfId="3" applyNumberFormat="1" applyFont="1" applyFill="1" applyBorder="1" applyAlignment="1" applyProtection="1">
      <alignment horizontal="center" vertical="center"/>
    </xf>
    <xf numFmtId="0" fontId="12" fillId="2" borderId="194" xfId="3" applyNumberFormat="1" applyFont="1" applyFill="1" applyBorder="1" applyAlignment="1" applyProtection="1">
      <alignment horizontal="center" vertical="center"/>
    </xf>
    <xf numFmtId="0" fontId="12" fillId="3" borderId="194" xfId="3" applyNumberFormat="1" applyFont="1" applyFill="1" applyBorder="1" applyAlignment="1" applyProtection="1">
      <alignment horizontal="center" vertical="center"/>
    </xf>
    <xf numFmtId="200" fontId="12" fillId="2" borderId="194" xfId="3" applyNumberFormat="1" applyFont="1" applyFill="1" applyBorder="1" applyAlignment="1" applyProtection="1">
      <alignment horizontal="center" vertical="center"/>
    </xf>
    <xf numFmtId="0" fontId="27" fillId="2" borderId="194" xfId="3" applyNumberFormat="1" applyFont="1" applyFill="1" applyBorder="1" applyAlignment="1" applyProtection="1">
      <alignment horizontal="center" vertical="center" shrinkToFit="1"/>
    </xf>
    <xf numFmtId="0" fontId="12" fillId="0" borderId="195" xfId="3" applyNumberFormat="1" applyFont="1" applyFill="1" applyBorder="1" applyAlignment="1" applyProtection="1">
      <alignment horizontal="center" vertical="center"/>
    </xf>
    <xf numFmtId="38" fontId="28" fillId="4" borderId="194" xfId="2" applyFont="1" applyFill="1" applyBorder="1" applyAlignment="1" applyProtection="1">
      <alignment horizontal="center" vertical="center"/>
    </xf>
    <xf numFmtId="38" fontId="28" fillId="3" borderId="194" xfId="2" applyFont="1" applyFill="1" applyBorder="1" applyAlignment="1" applyProtection="1">
      <alignment horizontal="center" vertical="center"/>
    </xf>
    <xf numFmtId="38" fontId="29" fillId="10" borderId="194" xfId="2" applyFont="1" applyFill="1" applyBorder="1" applyAlignment="1" applyProtection="1">
      <alignment horizontal="center" vertical="center"/>
    </xf>
    <xf numFmtId="38" fontId="28" fillId="4" borderId="195" xfId="2" applyFont="1" applyFill="1" applyBorder="1" applyAlignment="1" applyProtection="1">
      <alignment horizontal="center" vertical="center"/>
    </xf>
    <xf numFmtId="9" fontId="28" fillId="4" borderId="196" xfId="1" applyFont="1" applyFill="1" applyBorder="1" applyAlignment="1" applyProtection="1">
      <alignment horizontal="center" vertical="center"/>
    </xf>
    <xf numFmtId="9" fontId="28" fillId="4" borderId="194" xfId="1" applyFont="1" applyFill="1" applyBorder="1" applyAlignment="1" applyProtection="1">
      <alignment horizontal="center" vertical="center"/>
    </xf>
    <xf numFmtId="9" fontId="28" fillId="4" borderId="197" xfId="1" applyFont="1" applyFill="1" applyBorder="1" applyAlignment="1" applyProtection="1">
      <alignment horizontal="center" vertical="center"/>
    </xf>
    <xf numFmtId="0" fontId="28" fillId="10" borderId="198" xfId="3" applyNumberFormat="1" applyFont="1" applyFill="1" applyBorder="1" applyAlignment="1" applyProtection="1">
      <alignment horizontal="center" vertical="center"/>
    </xf>
    <xf numFmtId="0" fontId="28" fillId="10" borderId="195" xfId="3" applyNumberFormat="1" applyFont="1" applyFill="1" applyBorder="1" applyAlignment="1" applyProtection="1">
      <alignment horizontal="center" vertical="center"/>
    </xf>
    <xf numFmtId="0" fontId="12" fillId="2" borderId="199" xfId="3" applyNumberFormat="1" applyFont="1" applyFill="1" applyBorder="1" applyAlignment="1" applyProtection="1">
      <alignment horizontal="center" vertical="center"/>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82" xfId="0" applyFill="1" applyBorder="1" applyAlignment="1" applyProtection="1">
      <alignment shrinkToFit="1"/>
      <protection locked="0"/>
    </xf>
    <xf numFmtId="0" fontId="0" fillId="3" borderId="8" xfId="0" applyFill="1" applyBorder="1" applyAlignment="1" applyProtection="1">
      <alignment shrinkToFit="1"/>
      <protection locked="0"/>
    </xf>
    <xf numFmtId="0" fontId="0" fillId="7" borderId="8"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179" fontId="16" fillId="12" borderId="164" xfId="2" applyNumberFormat="1" applyFill="1" applyBorder="1" applyAlignment="1" applyProtection="1">
      <alignment vertical="center"/>
      <protection locked="0"/>
    </xf>
    <xf numFmtId="179" fontId="16" fillId="12" borderId="117" xfId="2" applyNumberFormat="1" applyFill="1" applyBorder="1" applyAlignment="1" applyProtection="1">
      <alignment vertical="center"/>
      <protection locked="0"/>
    </xf>
    <xf numFmtId="179" fontId="16" fillId="12" borderId="166" xfId="2" applyNumberFormat="1" applyFill="1" applyBorder="1" applyAlignment="1" applyProtection="1">
      <alignment vertical="center"/>
      <protection locked="0"/>
    </xf>
    <xf numFmtId="179" fontId="16" fillId="12" borderId="185" xfId="2" applyNumberFormat="1" applyFill="1" applyBorder="1" applyAlignment="1" applyProtection="1">
      <alignment vertical="center"/>
      <protection locked="0"/>
    </xf>
    <xf numFmtId="179" fontId="16" fillId="18" borderId="181" xfId="2" applyNumberFormat="1" applyFill="1" applyBorder="1" applyAlignment="1">
      <alignment vertical="center"/>
    </xf>
    <xf numFmtId="197" fontId="0" fillId="0" borderId="169" xfId="0" applyNumberFormat="1" applyBorder="1" applyAlignment="1">
      <alignment horizontal="center" vertical="center"/>
    </xf>
    <xf numFmtId="197" fontId="0" fillId="0" borderId="170" xfId="0" applyNumberFormat="1" applyBorder="1" applyAlignment="1">
      <alignment horizontal="center" vertical="center"/>
    </xf>
    <xf numFmtId="197" fontId="0" fillId="0" borderId="132" xfId="0" applyNumberFormat="1" applyFont="1" applyBorder="1" applyAlignment="1">
      <alignment horizontal="center" vertical="center" shrinkToFit="1"/>
    </xf>
    <xf numFmtId="182" fontId="9" fillId="12" borderId="100" xfId="3" applyNumberFormat="1" applyFont="1" applyFill="1" applyBorder="1" applyAlignment="1" applyProtection="1">
      <alignment vertical="center"/>
      <protection locked="0"/>
    </xf>
    <xf numFmtId="181" fontId="23" fillId="12" borderId="100" xfId="3" applyNumberFormat="1" applyFont="1" applyFill="1" applyBorder="1" applyAlignment="1" applyProtection="1">
      <alignment vertical="center"/>
      <protection locked="0"/>
    </xf>
    <xf numFmtId="182" fontId="9" fillId="12" borderId="100" xfId="3" applyNumberFormat="1" applyFont="1" applyFill="1" applyBorder="1" applyAlignment="1" applyProtection="1">
      <alignment horizontal="center" vertical="center"/>
      <protection locked="0"/>
    </xf>
    <xf numFmtId="0" fontId="7" fillId="0" borderId="201" xfId="4" applyFont="1" applyFill="1" applyBorder="1" applyAlignment="1"/>
    <xf numFmtId="0" fontId="38" fillId="0" borderId="0" xfId="0" applyFont="1" applyProtection="1"/>
    <xf numFmtId="0" fontId="38" fillId="0" borderId="0" xfId="0" applyFont="1" applyAlignment="1" applyProtection="1">
      <alignment horizontal="center" vertical="center" wrapText="1"/>
    </xf>
    <xf numFmtId="0" fontId="0" fillId="0" borderId="167" xfId="0" applyFont="1" applyBorder="1" applyAlignment="1">
      <alignment vertical="center"/>
    </xf>
    <xf numFmtId="0" fontId="0" fillId="0" borderId="167" xfId="0" applyBorder="1" applyAlignment="1">
      <alignment vertical="center"/>
    </xf>
    <xf numFmtId="0" fontId="0" fillId="12" borderId="203" xfId="0" applyFont="1" applyFill="1" applyBorder="1" applyAlignment="1" applyProtection="1">
      <alignment vertical="center"/>
      <protection locked="0"/>
    </xf>
    <xf numFmtId="191" fontId="0" fillId="12" borderId="204" xfId="0" applyNumberFormat="1" applyFont="1" applyFill="1" applyBorder="1" applyAlignment="1" applyProtection="1">
      <alignment vertical="center"/>
      <protection locked="0"/>
    </xf>
    <xf numFmtId="203" fontId="39" fillId="0" borderId="205" xfId="0" applyNumberFormat="1" applyFont="1" applyBorder="1" applyAlignment="1" applyProtection="1">
      <alignment vertical="center" shrinkToFit="1"/>
    </xf>
    <xf numFmtId="203" fontId="39" fillId="0" borderId="206" xfId="0" applyNumberFormat="1" applyFont="1" applyBorder="1" applyAlignment="1" applyProtection="1">
      <alignment vertical="center" shrinkToFit="1"/>
    </xf>
    <xf numFmtId="203" fontId="39" fillId="0" borderId="207" xfId="0" applyNumberFormat="1" applyFont="1" applyBorder="1" applyAlignment="1" applyProtection="1">
      <alignment vertical="center" shrinkToFit="1"/>
    </xf>
    <xf numFmtId="203" fontId="39" fillId="0" borderId="208" xfId="0" applyNumberFormat="1" applyFont="1" applyBorder="1" applyAlignment="1" applyProtection="1">
      <alignment vertical="center" shrinkToFit="1"/>
    </xf>
    <xf numFmtId="203" fontId="39" fillId="0" borderId="209" xfId="0" applyNumberFormat="1" applyFont="1" applyBorder="1" applyAlignment="1" applyProtection="1">
      <alignment vertical="center" shrinkToFit="1"/>
    </xf>
    <xf numFmtId="203" fontId="39" fillId="12" borderId="210" xfId="0" applyNumberFormat="1" applyFont="1" applyFill="1" applyBorder="1" applyAlignment="1" applyProtection="1">
      <alignment vertical="center" shrinkToFit="1"/>
      <protection locked="0"/>
    </xf>
    <xf numFmtId="203" fontId="39" fillId="12" borderId="211" xfId="0" applyNumberFormat="1" applyFont="1" applyFill="1" applyBorder="1" applyAlignment="1" applyProtection="1">
      <alignment vertical="center" shrinkToFit="1"/>
      <protection locked="0"/>
    </xf>
    <xf numFmtId="203" fontId="39" fillId="12" borderId="212" xfId="0" applyNumberFormat="1" applyFont="1" applyFill="1" applyBorder="1" applyAlignment="1" applyProtection="1">
      <alignment vertical="center" shrinkToFit="1"/>
      <protection locked="0"/>
    </xf>
    <xf numFmtId="203" fontId="39" fillId="12" borderId="213" xfId="0" applyNumberFormat="1" applyFont="1" applyFill="1" applyBorder="1" applyAlignment="1" applyProtection="1">
      <alignment vertical="center" shrinkToFit="1"/>
      <protection locked="0"/>
    </xf>
    <xf numFmtId="203" fontId="39" fillId="12" borderId="214" xfId="0" applyNumberFormat="1" applyFont="1" applyFill="1" applyBorder="1" applyAlignment="1" applyProtection="1">
      <alignment vertical="center" shrinkToFit="1"/>
      <protection locked="0"/>
    </xf>
    <xf numFmtId="203" fontId="39" fillId="12" borderId="156" xfId="0" applyNumberFormat="1" applyFont="1" applyFill="1" applyBorder="1" applyAlignment="1" applyProtection="1">
      <alignment vertical="center" shrinkToFit="1"/>
      <protection locked="0"/>
    </xf>
    <xf numFmtId="203" fontId="39" fillId="12" borderId="215" xfId="0" applyNumberFormat="1" applyFont="1" applyFill="1" applyBorder="1" applyAlignment="1" applyProtection="1">
      <alignment vertical="center" shrinkToFit="1"/>
      <protection locked="0"/>
    </xf>
    <xf numFmtId="203" fontId="39" fillId="12" borderId="216" xfId="0" applyNumberFormat="1" applyFont="1" applyFill="1" applyBorder="1" applyAlignment="1" applyProtection="1">
      <alignment vertical="center" shrinkToFit="1"/>
      <protection locked="0"/>
    </xf>
    <xf numFmtId="203" fontId="39" fillId="0" borderId="217" xfId="0" applyNumberFormat="1" applyFont="1" applyBorder="1" applyAlignment="1" applyProtection="1">
      <alignment vertical="center" shrinkToFit="1"/>
    </xf>
    <xf numFmtId="0" fontId="23" fillId="0" borderId="222" xfId="0" applyFont="1" applyBorder="1" applyAlignment="1" applyProtection="1">
      <alignment horizontal="center" vertical="center" shrinkToFit="1"/>
    </xf>
    <xf numFmtId="203" fontId="39" fillId="0" borderId="223" xfId="0" applyNumberFormat="1" applyFont="1" applyBorder="1" applyAlignment="1" applyProtection="1">
      <alignment vertical="center" shrinkToFit="1"/>
    </xf>
    <xf numFmtId="0" fontId="23" fillId="0" borderId="224" xfId="0" applyFont="1" applyBorder="1" applyAlignment="1" applyProtection="1">
      <alignment horizontal="center" shrinkToFit="1"/>
    </xf>
    <xf numFmtId="203" fontId="39" fillId="0" borderId="225" xfId="0" applyNumberFormat="1" applyFont="1" applyBorder="1" applyAlignment="1" applyProtection="1">
      <alignment vertical="center" shrinkToFit="1"/>
    </xf>
    <xf numFmtId="203" fontId="39" fillId="0" borderId="218" xfId="0" applyNumberFormat="1" applyFont="1" applyBorder="1" applyAlignment="1" applyProtection="1">
      <alignment vertical="center" shrinkToFit="1"/>
    </xf>
    <xf numFmtId="203" fontId="39" fillId="0" borderId="226" xfId="0" applyNumberFormat="1" applyFont="1" applyBorder="1" applyAlignment="1" applyProtection="1">
      <alignment vertical="center" shrinkToFit="1"/>
    </xf>
    <xf numFmtId="203" fontId="39" fillId="0" borderId="227" xfId="0" applyNumberFormat="1" applyFont="1" applyBorder="1" applyAlignment="1" applyProtection="1">
      <alignment vertical="center" shrinkToFit="1"/>
    </xf>
    <xf numFmtId="203" fontId="39" fillId="0" borderId="228" xfId="0" applyNumberFormat="1" applyFont="1" applyBorder="1" applyAlignment="1" applyProtection="1">
      <alignment vertical="center" shrinkToFit="1"/>
    </xf>
    <xf numFmtId="203" fontId="39" fillId="0" borderId="219" xfId="0" applyNumberFormat="1" applyFont="1" applyBorder="1" applyAlignment="1" applyProtection="1">
      <alignment vertical="center" shrinkToFit="1"/>
    </xf>
    <xf numFmtId="38" fontId="16" fillId="0" borderId="171" xfId="2" applyBorder="1" applyAlignment="1">
      <alignment vertical="center"/>
    </xf>
    <xf numFmtId="38" fontId="16" fillId="0" borderId="230" xfId="2" applyBorder="1" applyAlignment="1">
      <alignment vertical="center"/>
    </xf>
    <xf numFmtId="38" fontId="16" fillId="0" borderId="231" xfId="2" applyBorder="1" applyAlignment="1">
      <alignment vertical="center"/>
    </xf>
    <xf numFmtId="38" fontId="16" fillId="0" borderId="220" xfId="2" applyBorder="1" applyAlignment="1">
      <alignment vertical="center"/>
    </xf>
    <xf numFmtId="38" fontId="16" fillId="18" borderId="168" xfId="2" applyFill="1" applyBorder="1" applyAlignment="1">
      <alignment horizontal="right" vertical="center"/>
    </xf>
    <xf numFmtId="0" fontId="0" fillId="12" borderId="175" xfId="0" applyFont="1" applyFill="1" applyBorder="1" applyAlignment="1" applyProtection="1">
      <alignment shrinkToFit="1"/>
      <protection locked="0"/>
    </xf>
    <xf numFmtId="0" fontId="0" fillId="12" borderId="232" xfId="0" applyFont="1" applyFill="1" applyBorder="1" applyAlignment="1" applyProtection="1">
      <alignment shrinkToFit="1"/>
      <protection locked="0"/>
    </xf>
    <xf numFmtId="0" fontId="0" fillId="12" borderId="233" xfId="0" applyFont="1" applyFill="1" applyBorder="1" applyAlignment="1" applyProtection="1">
      <alignment shrinkToFit="1"/>
      <protection locked="0"/>
    </xf>
    <xf numFmtId="0" fontId="0" fillId="12" borderId="179" xfId="0" applyFill="1" applyBorder="1" applyAlignment="1" applyProtection="1">
      <alignment shrinkToFit="1"/>
      <protection locked="0"/>
    </xf>
    <xf numFmtId="0" fontId="0" fillId="18" borderId="183" xfId="0" applyFont="1" applyFill="1" applyBorder="1" applyAlignment="1" applyProtection="1">
      <alignment shrinkToFit="1"/>
      <protection locked="0"/>
    </xf>
    <xf numFmtId="181" fontId="23" fillId="0" borderId="235" xfId="3" applyNumberFormat="1" applyFont="1" applyFill="1" applyBorder="1" applyAlignment="1" applyProtection="1">
      <alignment vertical="center"/>
    </xf>
    <xf numFmtId="182" fontId="9" fillId="0" borderId="235" xfId="3" applyNumberFormat="1" applyFont="1" applyFill="1" applyBorder="1" applyAlignment="1" applyProtection="1">
      <alignment horizontal="center" vertical="center"/>
    </xf>
    <xf numFmtId="4" fontId="23" fillId="0" borderId="235" xfId="3" applyNumberFormat="1" applyFont="1" applyFill="1" applyBorder="1" applyAlignment="1" applyProtection="1">
      <alignment vertical="center"/>
    </xf>
    <xf numFmtId="38" fontId="23" fillId="2" borderId="235" xfId="2" applyFont="1" applyFill="1" applyBorder="1" applyAlignment="1" applyProtection="1">
      <alignment vertical="center"/>
      <protection locked="0"/>
    </xf>
    <xf numFmtId="38" fontId="23" fillId="3" borderId="235" xfId="2" applyFont="1" applyFill="1" applyBorder="1" applyAlignment="1" applyProtection="1">
      <alignment horizontal="center" vertical="center"/>
      <protection locked="0"/>
    </xf>
    <xf numFmtId="38" fontId="23" fillId="11" borderId="235" xfId="2" applyFont="1" applyFill="1" applyBorder="1" applyAlignment="1" applyProtection="1">
      <alignment vertical="center"/>
      <protection locked="0"/>
    </xf>
    <xf numFmtId="38" fontId="23" fillId="2" borderId="236" xfId="2" applyFont="1" applyFill="1" applyBorder="1" applyAlignment="1" applyProtection="1">
      <alignment vertical="center"/>
      <protection locked="0"/>
    </xf>
    <xf numFmtId="9" fontId="23" fillId="2" borderId="237" xfId="1" applyFont="1" applyFill="1" applyBorder="1" applyAlignment="1" applyProtection="1">
      <alignment vertical="center"/>
      <protection locked="0"/>
    </xf>
    <xf numFmtId="9" fontId="23" fillId="2" borderId="235" xfId="1" applyFont="1" applyFill="1" applyBorder="1" applyAlignment="1" applyProtection="1">
      <alignment vertical="center"/>
      <protection locked="0"/>
    </xf>
    <xf numFmtId="9" fontId="23" fillId="2" borderId="238" xfId="1" applyFont="1" applyFill="1" applyBorder="1" applyAlignment="1" applyProtection="1">
      <alignment vertical="center"/>
      <protection locked="0"/>
    </xf>
    <xf numFmtId="181" fontId="23" fillId="7" borderId="239" xfId="3" applyNumberFormat="1" applyFont="1" applyFill="1" applyBorder="1" applyAlignment="1" applyProtection="1">
      <alignment vertical="center"/>
      <protection locked="0"/>
    </xf>
    <xf numFmtId="181" fontId="23" fillId="7" borderId="235" xfId="3" applyNumberFormat="1" applyFont="1" applyFill="1" applyBorder="1" applyAlignment="1" applyProtection="1">
      <alignment vertical="center"/>
      <protection locked="0"/>
    </xf>
    <xf numFmtId="181" fontId="23" fillId="7" borderId="236" xfId="3" applyNumberFormat="1" applyFont="1" applyFill="1" applyBorder="1" applyAlignment="1" applyProtection="1">
      <alignment vertical="center"/>
      <protection locked="0"/>
    </xf>
    <xf numFmtId="182" fontId="24" fillId="2" borderId="240" xfId="3" applyNumberFormat="1" applyFont="1" applyFill="1" applyBorder="1" applyAlignment="1" applyProtection="1">
      <alignment vertical="center"/>
      <protection locked="0"/>
    </xf>
    <xf numFmtId="200" fontId="23" fillId="0" borderId="235" xfId="3" applyNumberFormat="1" applyFont="1" applyFill="1" applyBorder="1" applyAlignment="1" applyProtection="1">
      <alignment vertical="center"/>
    </xf>
    <xf numFmtId="3" fontId="23" fillId="0" borderId="235" xfId="3" applyNumberFormat="1" applyFont="1" applyFill="1" applyBorder="1" applyAlignment="1" applyProtection="1">
      <alignment horizontal="center" vertical="center"/>
    </xf>
    <xf numFmtId="9" fontId="23" fillId="0" borderId="235" xfId="1" applyNumberFormat="1" applyFont="1" applyFill="1" applyBorder="1" applyAlignment="1" applyProtection="1">
      <alignment horizontal="center" vertical="center"/>
    </xf>
    <xf numFmtId="190" fontId="16" fillId="0" borderId="75" xfId="2" applyNumberFormat="1" applyFont="1" applyFill="1" applyBorder="1" applyAlignment="1" applyProtection="1">
      <alignment vertical="center"/>
    </xf>
    <xf numFmtId="0" fontId="0" fillId="0" borderId="0" xfId="0" applyAlignment="1">
      <alignment horizontal="left" indent="1"/>
    </xf>
    <xf numFmtId="0" fontId="0" fillId="0" borderId="117" xfId="0" applyBorder="1" applyAlignment="1">
      <alignment horizontal="center"/>
    </xf>
    <xf numFmtId="0" fontId="16" fillId="0" borderId="0" xfId="30"/>
    <xf numFmtId="0" fontId="16" fillId="0" borderId="0" xfId="30" applyFont="1"/>
    <xf numFmtId="0" fontId="16" fillId="0" borderId="0" xfId="31" applyFont="1"/>
    <xf numFmtId="0" fontId="16" fillId="0" borderId="0" xfId="31"/>
    <xf numFmtId="0" fontId="0" fillId="0" borderId="0" xfId="0" applyBorder="1"/>
    <xf numFmtId="0" fontId="23" fillId="0" borderId="142"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2"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53"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2"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37" xfId="6" applyFont="1" applyBorder="1" applyAlignment="1" applyProtection="1">
      <alignment horizontal="center" vertical="center" textRotation="255" wrapText="1"/>
    </xf>
    <xf numFmtId="0" fontId="16" fillId="0" borderId="137" xfId="6" applyFont="1" applyBorder="1" applyAlignment="1" applyProtection="1">
      <alignment horizontal="center" vertical="center" textRotation="255" wrapText="1"/>
    </xf>
    <xf numFmtId="0" fontId="16" fillId="0" borderId="138" xfId="6" applyFont="1" applyBorder="1" applyAlignment="1" applyProtection="1">
      <alignment horizontal="center" vertical="center" textRotation="255" wrapText="1"/>
    </xf>
    <xf numFmtId="0" fontId="0" fillId="0" borderId="136"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55"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89"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4" fillId="0" borderId="164" xfId="0" applyFont="1" applyBorder="1" applyAlignment="1" applyProtection="1">
      <alignment horizontal="center" vertical="center"/>
    </xf>
    <xf numFmtId="0" fontId="4" fillId="0" borderId="165" xfId="0" applyFont="1" applyBorder="1" applyAlignment="1" applyProtection="1">
      <alignment horizontal="center" vertical="center"/>
    </xf>
    <xf numFmtId="201" fontId="4" fillId="0" borderId="166" xfId="0" applyNumberFormat="1" applyFont="1" applyBorder="1" applyAlignment="1" applyProtection="1">
      <alignment horizontal="center"/>
    </xf>
    <xf numFmtId="201" fontId="4" fillId="0" borderId="134" xfId="0" applyNumberFormat="1" applyFont="1" applyBorder="1" applyAlignment="1" applyProtection="1">
      <alignment horizontal="center"/>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0" fontId="23" fillId="0" borderId="220" xfId="0" applyFont="1" applyBorder="1" applyAlignment="1" applyProtection="1">
      <alignment horizontal="center" vertical="center" wrapText="1" shrinkToFit="1"/>
    </xf>
    <xf numFmtId="0" fontId="23" fillId="0" borderId="221" xfId="0" applyFont="1" applyBorder="1" applyAlignment="1" applyProtection="1">
      <alignment horizontal="center" vertical="center" shrinkToFit="1"/>
    </xf>
    <xf numFmtId="0" fontId="4" fillId="0" borderId="77" xfId="0" applyFont="1" applyBorder="1" applyAlignment="1" applyProtection="1">
      <alignment horizontal="center" vertical="center"/>
    </xf>
    <xf numFmtId="0" fontId="23" fillId="0" borderId="128" xfId="0" applyFont="1" applyBorder="1" applyAlignment="1" applyProtection="1">
      <alignment horizontal="center" vertical="center" textRotation="255" shrinkToFit="1"/>
    </xf>
    <xf numFmtId="0" fontId="23" fillId="0" borderId="131" xfId="0" applyFont="1" applyBorder="1" applyAlignment="1" applyProtection="1">
      <alignment horizontal="center" vertical="center" textRotation="255" shrinkToFit="1"/>
    </xf>
    <xf numFmtId="0" fontId="23" fillId="0" borderId="168" xfId="0" applyFont="1" applyBorder="1" applyAlignment="1" applyProtection="1">
      <alignment horizontal="center" vertical="center" textRotation="255" shrinkToFit="1"/>
    </xf>
    <xf numFmtId="0" fontId="4" fillId="0" borderId="2" xfId="0" applyFont="1" applyBorder="1" applyAlignment="1" applyProtection="1">
      <alignment horizontal="center" vertical="center"/>
    </xf>
    <xf numFmtId="183" fontId="4" fillId="0" borderId="52" xfId="0" applyNumberFormat="1"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0" fillId="0" borderId="154"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2" xfId="0" applyBorder="1" applyAlignment="1" applyProtection="1">
      <alignment horizontal="center"/>
    </xf>
    <xf numFmtId="0" fontId="0" fillId="0" borderId="153" xfId="0" applyBorder="1" applyProtection="1"/>
    <xf numFmtId="0" fontId="0" fillId="0" borderId="20" xfId="0" applyBorder="1" applyProtection="1"/>
    <xf numFmtId="202" fontId="4" fillId="0" borderId="149" xfId="0" applyNumberFormat="1" applyFont="1" applyFill="1" applyBorder="1" applyAlignment="1" applyProtection="1">
      <alignment vertical="center"/>
    </xf>
    <xf numFmtId="202" fontId="4" fillId="0" borderId="151" xfId="0" applyNumberFormat="1" applyFont="1" applyFill="1" applyBorder="1" applyAlignment="1" applyProtection="1">
      <alignment vertical="center"/>
    </xf>
    <xf numFmtId="194" fontId="16" fillId="20" borderId="118" xfId="12" applyNumberFormat="1" applyFill="1" applyBorder="1" applyAlignment="1" applyProtection="1">
      <protection locked="0"/>
    </xf>
    <xf numFmtId="0" fontId="31" fillId="0" borderId="120" xfId="15" applyBorder="1" applyAlignment="1" applyProtection="1">
      <protection locked="0"/>
    </xf>
    <xf numFmtId="0" fontId="16" fillId="19" borderId="118" xfId="12" applyFill="1" applyBorder="1" applyAlignment="1" applyProtection="1">
      <alignment horizontal="center"/>
    </xf>
    <xf numFmtId="0" fontId="16" fillId="0" borderId="119" xfId="14" applyBorder="1" applyAlignment="1">
      <alignment horizontal="center"/>
    </xf>
    <xf numFmtId="0" fontId="31" fillId="0" borderId="120" xfId="15" applyBorder="1" applyAlignment="1"/>
    <xf numFmtId="0" fontId="0" fillId="20" borderId="118" xfId="12" applyFont="1" applyFill="1" applyBorder="1" applyAlignment="1" applyProtection="1">
      <protection locked="0"/>
    </xf>
    <xf numFmtId="0" fontId="16" fillId="0" borderId="119" xfId="14" applyBorder="1" applyAlignment="1" applyProtection="1">
      <protection locked="0"/>
    </xf>
    <xf numFmtId="0" fontId="16" fillId="20" borderId="118" xfId="12" applyFont="1" applyFill="1" applyBorder="1" applyAlignment="1" applyProtection="1">
      <protection locked="0"/>
    </xf>
    <xf numFmtId="0" fontId="16" fillId="0" borderId="121" xfId="12" applyFont="1" applyBorder="1" applyAlignment="1">
      <alignment vertical="top"/>
    </xf>
    <xf numFmtId="0" fontId="16" fillId="0" borderId="122" xfId="12" applyFont="1" applyBorder="1" applyAlignment="1">
      <alignment vertical="top"/>
    </xf>
    <xf numFmtId="0" fontId="31" fillId="0" borderId="123" xfId="15" applyBorder="1" applyAlignment="1">
      <alignment vertical="center"/>
    </xf>
    <xf numFmtId="0" fontId="0" fillId="20" borderId="121" xfId="12" applyFont="1" applyFill="1" applyBorder="1" applyAlignment="1" applyProtection="1">
      <alignment vertical="top" wrapText="1"/>
      <protection locked="0"/>
    </xf>
    <xf numFmtId="0" fontId="16" fillId="20" borderId="121" xfId="12" applyFont="1" applyFill="1" applyBorder="1" applyAlignment="1" applyProtection="1">
      <alignment vertical="top" wrapText="1"/>
      <protection locked="0"/>
    </xf>
    <xf numFmtId="0" fontId="31" fillId="0" borderId="121" xfId="15" applyBorder="1" applyAlignment="1" applyProtection="1">
      <alignment vertical="center" wrapText="1"/>
      <protection locked="0"/>
    </xf>
    <xf numFmtId="0" fontId="16" fillId="20" borderId="122" xfId="12" applyFont="1" applyFill="1" applyBorder="1" applyAlignment="1" applyProtection="1">
      <alignment vertical="top" wrapText="1"/>
      <protection locked="0"/>
    </xf>
    <xf numFmtId="0" fontId="31" fillId="0" borderId="122" xfId="15" applyBorder="1" applyAlignment="1" applyProtection="1">
      <alignment vertical="center" wrapText="1"/>
      <protection locked="0"/>
    </xf>
    <xf numFmtId="0" fontId="31" fillId="0" borderId="123" xfId="15" applyBorder="1" applyAlignment="1" applyProtection="1">
      <alignment vertical="center" wrapText="1"/>
      <protection locked="0"/>
    </xf>
    <xf numFmtId="0" fontId="3" fillId="20" borderId="118" xfId="12" applyFont="1" applyFill="1" applyBorder="1" applyAlignment="1" applyProtection="1">
      <protection locked="0"/>
    </xf>
    <xf numFmtId="0" fontId="16" fillId="20" borderId="118" xfId="12" applyFill="1" applyBorder="1" applyAlignment="1" applyProtection="1">
      <protection locked="0"/>
    </xf>
    <xf numFmtId="0" fontId="23" fillId="9" borderId="2" xfId="7" applyFont="1" applyFill="1" applyBorder="1" applyAlignment="1" applyProtection="1">
      <alignment horizontal="center" vertical="top" textRotation="255" wrapText="1"/>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55"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9" borderId="8" xfId="7" applyFont="1" applyFill="1" applyBorder="1" applyAlignment="1" applyProtection="1">
      <alignment horizontal="center" wrapText="1"/>
    </xf>
    <xf numFmtId="0" fontId="23" fillId="2" borderId="149" xfId="7" applyFont="1" applyFill="1" applyBorder="1" applyAlignment="1" applyProtection="1">
      <alignment vertical="center"/>
      <protection locked="0"/>
    </xf>
    <xf numFmtId="0" fontId="23" fillId="2" borderId="150" xfId="7" applyFont="1" applyFill="1" applyBorder="1" applyAlignment="1" applyProtection="1">
      <alignment vertical="center"/>
      <protection locked="0"/>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0" borderId="0" xfId="0" applyFont="1" applyBorder="1" applyAlignment="1" applyProtection="1">
      <alignment vertical="center" shrinkToFit="1"/>
    </xf>
    <xf numFmtId="0" fontId="23" fillId="0" borderId="18" xfId="0" applyFont="1" applyBorder="1" applyAlignment="1" applyProtection="1">
      <alignment vertical="center" shrinkToFit="1"/>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02"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3"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197" fontId="0" fillId="0" borderId="171" xfId="0" applyNumberFormat="1" applyBorder="1" applyAlignment="1">
      <alignment horizontal="center" vertical="center" wrapText="1"/>
    </xf>
    <xf numFmtId="197" fontId="0" fillId="0" borderId="229" xfId="0" applyNumberFormat="1" applyFont="1" applyBorder="1" applyAlignment="1">
      <alignment horizontal="center" vertical="center"/>
    </xf>
    <xf numFmtId="197" fontId="22" fillId="0" borderId="163" xfId="0" applyNumberFormat="1" applyFont="1" applyBorder="1" applyAlignment="1">
      <alignment horizontal="center" vertical="center"/>
    </xf>
    <xf numFmtId="197" fontId="22" fillId="0" borderId="164" xfId="0" applyNumberFormat="1" applyFont="1" applyBorder="1" applyAlignment="1">
      <alignment horizontal="center" vertical="center"/>
    </xf>
    <xf numFmtId="197" fontId="22" fillId="0" borderId="165" xfId="0" applyNumberFormat="1" applyFont="1" applyBorder="1" applyAlignment="1">
      <alignment horizontal="center" vertical="center"/>
    </xf>
    <xf numFmtId="197" fontId="0" fillId="0" borderId="175" xfId="0" applyNumberFormat="1" applyBorder="1" applyAlignment="1">
      <alignment horizontal="center" vertical="center" wrapText="1"/>
    </xf>
    <xf numFmtId="197" fontId="0" fillId="0" borderId="176" xfId="0" applyNumberFormat="1" applyFont="1" applyBorder="1" applyAlignment="1">
      <alignment horizontal="center" vertical="center"/>
    </xf>
    <xf numFmtId="197" fontId="0" fillId="0" borderId="186" xfId="0" applyNumberFormat="1" applyBorder="1" applyAlignment="1">
      <alignment horizontal="center" vertical="center" wrapText="1"/>
    </xf>
    <xf numFmtId="197" fontId="0" fillId="0" borderId="156" xfId="0" applyNumberFormat="1" applyFont="1" applyBorder="1" applyAlignment="1">
      <alignment horizontal="center" vertical="center"/>
    </xf>
    <xf numFmtId="197" fontId="0" fillId="0" borderId="175" xfId="0" applyNumberFormat="1" applyBorder="1" applyAlignment="1">
      <alignment horizontal="center" vertical="center"/>
    </xf>
    <xf numFmtId="197" fontId="0" fillId="0" borderId="234" xfId="0" applyNumberFormat="1" applyFont="1" applyBorder="1" applyAlignment="1">
      <alignment horizontal="center" vertical="center"/>
    </xf>
    <xf numFmtId="0" fontId="26" fillId="0" borderId="0" xfId="3" applyNumberFormat="1" applyFont="1" applyBorder="1" applyAlignment="1" applyProtection="1">
      <alignment horizontal="center"/>
    </xf>
    <xf numFmtId="0" fontId="23" fillId="25" borderId="84" xfId="3" applyFont="1" applyFill="1" applyBorder="1" applyAlignment="1" applyProtection="1">
      <alignment horizontal="center" vertical="center" textRotation="255"/>
    </xf>
    <xf numFmtId="0" fontId="23" fillId="25" borderId="91" xfId="3" applyFont="1" applyFill="1" applyBorder="1" applyAlignment="1" applyProtection="1">
      <alignment horizontal="center" vertical="center" textRotation="255"/>
    </xf>
    <xf numFmtId="0" fontId="23" fillId="25" borderId="93" xfId="3" applyFont="1" applyFill="1" applyBorder="1" applyAlignment="1" applyProtection="1">
      <alignment horizontal="center" vertical="center" textRotation="255"/>
    </xf>
    <xf numFmtId="0" fontId="9" fillId="25" borderId="84" xfId="3" applyFont="1" applyFill="1" applyBorder="1" applyAlignment="1" applyProtection="1">
      <alignment horizontal="center" vertical="center" textRotation="255" wrapText="1"/>
    </xf>
    <xf numFmtId="0" fontId="9" fillId="25" borderId="91" xfId="3" applyFont="1" applyFill="1" applyBorder="1" applyAlignment="1" applyProtection="1">
      <alignment horizontal="center" vertical="center" textRotation="255"/>
    </xf>
    <xf numFmtId="0" fontId="9" fillId="25" borderId="93"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12" xfId="3" applyFont="1" applyFill="1" applyBorder="1" applyAlignment="1" applyProtection="1">
      <alignment horizontal="center" vertical="center" textRotation="255"/>
    </xf>
    <xf numFmtId="0" fontId="23" fillId="25" borderId="180" xfId="3" applyFont="1" applyFill="1" applyBorder="1" applyAlignment="1" applyProtection="1">
      <alignment horizontal="center" vertical="center" textRotation="255"/>
    </xf>
    <xf numFmtId="0" fontId="23" fillId="25" borderId="131" xfId="3" applyFont="1" applyFill="1" applyBorder="1" applyAlignment="1" applyProtection="1">
      <alignment horizontal="center" vertical="center" textRotation="255"/>
    </xf>
    <xf numFmtId="0" fontId="23" fillId="25" borderId="200"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wrapText="1"/>
    </xf>
    <xf numFmtId="0" fontId="0" fillId="0" borderId="117" xfId="0" applyBorder="1" applyAlignment="1">
      <alignment horizontal="center"/>
    </xf>
    <xf numFmtId="0" fontId="0" fillId="0" borderId="117" xfId="0" applyBorder="1" applyAlignment="1"/>
    <xf numFmtId="0" fontId="0" fillId="0" borderId="0" xfId="0" applyAlignment="1">
      <alignment horizontal="left" wrapText="1" indent="1"/>
    </xf>
  </cellXfs>
  <cellStyles count="32">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DEMO" xfId="30"/>
    <cellStyle name="標準_DEMO_作物候補一覧" xfId="31"/>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32</xdr:col>
      <xdr:colOff>219075</xdr:colOff>
      <xdr:row>38</xdr:row>
      <xdr:rowOff>85725</xdr:rowOff>
    </xdr:from>
    <xdr:to>
      <xdr:col>37</xdr:col>
      <xdr:colOff>9525</xdr:colOff>
      <xdr:row>46</xdr:row>
      <xdr:rowOff>28575</xdr:rowOff>
    </xdr:to>
    <xdr:sp macro="" textlink="">
      <xdr:nvSpPr>
        <xdr:cNvPr id="3" name="テキスト ボックス 2"/>
        <xdr:cNvSpPr txBox="1"/>
      </xdr:nvSpPr>
      <xdr:spPr>
        <a:xfrm>
          <a:off x="16087725" y="7715250"/>
          <a:ext cx="2171700"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○播種</a:t>
          </a:r>
          <a:endParaRPr kumimoji="1" lang="en-US" altLang="ja-JP" sz="1100"/>
        </a:p>
        <a:p>
          <a:r>
            <a:rPr kumimoji="1" lang="en-US" altLang="ja-JP" sz="1100"/>
            <a:t>―</a:t>
          </a:r>
          <a:r>
            <a:rPr kumimoji="1" lang="ja-JP" altLang="en-US" sz="1100"/>
            <a:t>栽培期間</a:t>
          </a:r>
          <a:endParaRPr kumimoji="1" lang="en-US" altLang="ja-JP" sz="1100"/>
        </a:p>
        <a:p>
          <a:r>
            <a:rPr kumimoji="1" lang="ja-JP" altLang="en-US" sz="1100"/>
            <a:t>■収穫</a:t>
          </a:r>
          <a:endParaRPr kumimoji="1" lang="en-US" altLang="ja-JP" sz="1100"/>
        </a:p>
        <a:p>
          <a:endParaRPr kumimoji="1" lang="en-US" altLang="ja-JP" sz="1100"/>
        </a:p>
        <a:p>
          <a:r>
            <a:rPr kumimoji="1" lang="ja-JP" altLang="en-US" sz="1100"/>
            <a:t>△中耕・土入れ・踏圧</a:t>
          </a:r>
          <a:endParaRPr kumimoji="1" lang="en-US" altLang="ja-JP" sz="1100"/>
        </a:p>
        <a:p>
          <a:r>
            <a:rPr kumimoji="1" lang="ja-JP" altLang="en-US" sz="1100"/>
            <a:t>▲追肥</a:t>
          </a:r>
          <a:endParaRPr kumimoji="1" lang="en-US" altLang="ja-JP" sz="1100"/>
        </a:p>
        <a:p>
          <a:r>
            <a:rPr kumimoji="1" lang="ja-JP" altLang="en-US" sz="1100"/>
            <a:t>▽病害虫防除</a:t>
          </a:r>
          <a:endParaRPr kumimoji="1" lang="en-US" altLang="ja-JP" sz="1100"/>
        </a:p>
        <a:p>
          <a:r>
            <a:rPr kumimoji="1" lang="ja-JP" altLang="en-US" sz="1100"/>
            <a:t>▼除草剤散布</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57150</xdr:colOff>
      <xdr:row>32</xdr:row>
      <xdr:rowOff>28575</xdr:rowOff>
    </xdr:from>
    <xdr:to>
      <xdr:col>14</xdr:col>
      <xdr:colOff>419100</xdr:colOff>
      <xdr:row>55</xdr:row>
      <xdr:rowOff>38100</xdr:rowOff>
    </xdr:to>
    <xdr:pic>
      <xdr:nvPicPr>
        <xdr:cNvPr id="23555" name="Picture 3"/>
        <xdr:cNvPicPr>
          <a:picLocks noChangeAspect="1" noChangeArrowheads="1"/>
        </xdr:cNvPicPr>
      </xdr:nvPicPr>
      <xdr:blipFill>
        <a:blip xmlns:r="http://schemas.openxmlformats.org/officeDocument/2006/relationships" r:embed="rId1"/>
        <a:srcRect/>
        <a:stretch>
          <a:fillRect/>
        </a:stretch>
      </xdr:blipFill>
      <xdr:spPr bwMode="auto">
        <a:xfrm>
          <a:off x="6562725" y="3943350"/>
          <a:ext cx="5353050" cy="3952875"/>
        </a:xfrm>
        <a:prstGeom prst="rect">
          <a:avLst/>
        </a:prstGeom>
        <a:noFill/>
      </xdr:spPr>
    </xdr:pic>
    <xdr:clientData/>
  </xdr:twoCellAnchor>
  <xdr:twoCellAnchor editAs="oneCell">
    <xdr:from>
      <xdr:col>7</xdr:col>
      <xdr:colOff>57150</xdr:colOff>
      <xdr:row>60</xdr:row>
      <xdr:rowOff>9525</xdr:rowOff>
    </xdr:from>
    <xdr:to>
      <xdr:col>14</xdr:col>
      <xdr:colOff>561975</xdr:colOff>
      <xdr:row>84</xdr:row>
      <xdr:rowOff>1078</xdr:rowOff>
    </xdr:to>
    <xdr:pic>
      <xdr:nvPicPr>
        <xdr:cNvPr id="23557" name="Picture 5"/>
        <xdr:cNvPicPr>
          <a:picLocks noChangeAspect="1" noChangeArrowheads="1"/>
        </xdr:cNvPicPr>
      </xdr:nvPicPr>
      <xdr:blipFill>
        <a:blip xmlns:r="http://schemas.openxmlformats.org/officeDocument/2006/relationships" r:embed="rId2"/>
        <a:srcRect/>
        <a:stretch>
          <a:fillRect/>
        </a:stretch>
      </xdr:blipFill>
      <xdr:spPr bwMode="auto">
        <a:xfrm>
          <a:off x="6562725" y="8724900"/>
          <a:ext cx="5553075" cy="4106353"/>
        </a:xfrm>
        <a:prstGeom prst="rect">
          <a:avLst/>
        </a:prstGeom>
        <a:noFill/>
      </xdr:spPr>
    </xdr:pic>
    <xdr:clientData/>
  </xdr:twoCellAnchor>
  <xdr:twoCellAnchor editAs="oneCell">
    <xdr:from>
      <xdr:col>7</xdr:col>
      <xdr:colOff>28575</xdr:colOff>
      <xdr:row>89</xdr:row>
      <xdr:rowOff>133350</xdr:rowOff>
    </xdr:from>
    <xdr:to>
      <xdr:col>11</xdr:col>
      <xdr:colOff>180975</xdr:colOff>
      <xdr:row>111</xdr:row>
      <xdr:rowOff>104775</xdr:rowOff>
    </xdr:to>
    <xdr:pic>
      <xdr:nvPicPr>
        <xdr:cNvPr id="23559" name="Picture 7"/>
        <xdr:cNvPicPr>
          <a:picLocks noChangeAspect="1" noChangeArrowheads="1"/>
        </xdr:cNvPicPr>
      </xdr:nvPicPr>
      <xdr:blipFill>
        <a:blip xmlns:r="http://schemas.openxmlformats.org/officeDocument/2006/relationships" r:embed="rId3"/>
        <a:srcRect/>
        <a:stretch>
          <a:fillRect/>
        </a:stretch>
      </xdr:blipFill>
      <xdr:spPr bwMode="auto">
        <a:xfrm>
          <a:off x="6534150" y="13820775"/>
          <a:ext cx="3086100" cy="37433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workbookViewId="0">
      <pane xSplit="4" ySplit="2" topLeftCell="E11" activePane="bottomRight" state="frozen"/>
      <selection pane="topRight" activeCell="E1" sqref="E1"/>
      <selection pane="bottomLeft" activeCell="A3" sqref="A3"/>
      <selection pane="bottomRight" activeCell="E39" sqref="E39"/>
    </sheetView>
  </sheetViews>
  <sheetFormatPr defaultRowHeight="12" zeroHeight="1"/>
  <cols>
    <col min="1" max="3" width="3.625" style="502" customWidth="1"/>
    <col min="4" max="4" width="21.625" style="504" customWidth="1"/>
    <col min="5" max="5" width="12.125" style="502" customWidth="1"/>
    <col min="6" max="6" width="14.25" style="502" customWidth="1"/>
    <col min="7" max="7" width="27.75" style="502" bestFit="1" customWidth="1"/>
    <col min="8" max="8" width="14.125" style="502" customWidth="1"/>
    <col min="9" max="9" width="12" style="502" customWidth="1"/>
    <col min="10" max="10" width="5.375" style="502" customWidth="1"/>
    <col min="11" max="16384" width="9" style="502"/>
  </cols>
  <sheetData>
    <row r="1" spans="1:9" ht="21" customHeight="1">
      <c r="A1" s="48" t="s">
        <v>257</v>
      </c>
      <c r="B1" s="48"/>
      <c r="C1" s="48"/>
      <c r="D1" s="48"/>
      <c r="E1" s="499"/>
      <c r="F1" s="499"/>
      <c r="G1" s="500"/>
      <c r="H1" s="499" t="str">
        <f>①技術体系!A2</f>
        <v>小麦</v>
      </c>
      <c r="I1" s="501"/>
    </row>
    <row r="2" spans="1:9" ht="21" customHeight="1">
      <c r="A2" s="683" t="s">
        <v>141</v>
      </c>
      <c r="B2" s="683"/>
      <c r="C2" s="683"/>
      <c r="D2" s="683"/>
      <c r="E2" s="49" t="s">
        <v>142</v>
      </c>
      <c r="F2" s="50">
        <f>想定面積</f>
        <v>1050</v>
      </c>
      <c r="G2" s="699" t="s">
        <v>143</v>
      </c>
      <c r="H2" s="699"/>
      <c r="I2" s="699"/>
    </row>
    <row r="3" spans="1:9" ht="21" customHeight="1">
      <c r="A3" s="700" t="s">
        <v>112</v>
      </c>
      <c r="B3" s="702" t="s">
        <v>144</v>
      </c>
      <c r="C3" s="702"/>
      <c r="D3" s="702"/>
      <c r="E3" s="51">
        <f>④収入!D20</f>
        <v>13560</v>
      </c>
      <c r="F3" s="51">
        <f>E3*$F$2/10</f>
        <v>1423800</v>
      </c>
      <c r="G3" s="703" t="s">
        <v>414</v>
      </c>
      <c r="H3" s="703"/>
      <c r="I3" s="703"/>
    </row>
    <row r="4" spans="1:9" ht="21" customHeight="1">
      <c r="A4" s="700"/>
      <c r="B4" s="671" t="s">
        <v>145</v>
      </c>
      <c r="C4" s="671"/>
      <c r="D4" s="671"/>
      <c r="E4" s="52">
        <f>④収入!E20</f>
        <v>0</v>
      </c>
      <c r="F4" s="52">
        <f>E4*$F$2/10</f>
        <v>0</v>
      </c>
      <c r="G4" s="672" t="s">
        <v>415</v>
      </c>
      <c r="H4" s="672"/>
      <c r="I4" s="672"/>
    </row>
    <row r="5" spans="1:9" ht="21" customHeight="1">
      <c r="A5" s="701"/>
      <c r="B5" s="676" t="s">
        <v>413</v>
      </c>
      <c r="C5" s="671"/>
      <c r="D5" s="671"/>
      <c r="E5" s="52">
        <f>④収入!F20</f>
        <v>59800</v>
      </c>
      <c r="F5" s="52">
        <f>E5*$F$2/10</f>
        <v>6279000</v>
      </c>
      <c r="G5" s="672" t="s">
        <v>416</v>
      </c>
      <c r="H5" s="672"/>
      <c r="I5" s="672"/>
    </row>
    <row r="6" spans="1:9" ht="21" customHeight="1">
      <c r="A6" s="700"/>
      <c r="B6" s="673" t="s">
        <v>146</v>
      </c>
      <c r="C6" s="674"/>
      <c r="D6" s="674"/>
      <c r="E6" s="51">
        <f>SUM(E3:E5)</f>
        <v>73360</v>
      </c>
      <c r="F6" s="51">
        <f>SUM(F3:F5)</f>
        <v>7702800</v>
      </c>
      <c r="G6" s="675"/>
      <c r="H6" s="675"/>
      <c r="I6" s="675"/>
    </row>
    <row r="7" spans="1:9" ht="21" customHeight="1">
      <c r="A7" s="684" t="s">
        <v>258</v>
      </c>
      <c r="B7" s="688" t="s">
        <v>147</v>
      </c>
      <c r="C7" s="479"/>
      <c r="D7" s="476" t="s">
        <v>98</v>
      </c>
      <c r="E7" s="313">
        <f>⑤支出!J8</f>
        <v>1635</v>
      </c>
      <c r="F7" s="314">
        <f>E7*$F$2/10</f>
        <v>171675</v>
      </c>
      <c r="G7" s="311" t="s">
        <v>417</v>
      </c>
      <c r="H7" s="54"/>
      <c r="I7" s="55"/>
    </row>
    <row r="8" spans="1:9" ht="21" customHeight="1">
      <c r="A8" s="685"/>
      <c r="B8" s="686"/>
      <c r="C8" s="480"/>
      <c r="D8" s="477" t="s">
        <v>95</v>
      </c>
      <c r="E8" s="418">
        <f>⑤支出!J20</f>
        <v>7056</v>
      </c>
      <c r="F8" s="419">
        <f>E8*$F$2/10</f>
        <v>740880</v>
      </c>
      <c r="G8" s="56" t="s">
        <v>418</v>
      </c>
      <c r="H8" s="56"/>
      <c r="I8" s="57"/>
    </row>
    <row r="9" spans="1:9" ht="21" customHeight="1">
      <c r="A9" s="685"/>
      <c r="B9" s="686"/>
      <c r="C9" s="480"/>
      <c r="D9" s="477" t="s">
        <v>148</v>
      </c>
      <c r="E9" s="418">
        <f>⑤支出!J61</f>
        <v>3478</v>
      </c>
      <c r="F9" s="419">
        <f>E9*$F$2/10</f>
        <v>365190</v>
      </c>
      <c r="G9" s="56" t="s">
        <v>419</v>
      </c>
      <c r="H9" s="56"/>
      <c r="I9" s="57"/>
    </row>
    <row r="10" spans="1:9" ht="21" customHeight="1">
      <c r="A10" s="685"/>
      <c r="B10" s="686"/>
      <c r="C10" s="480"/>
      <c r="D10" s="477" t="s">
        <v>149</v>
      </c>
      <c r="E10" s="418">
        <f>⑤支出!J70</f>
        <v>2731</v>
      </c>
      <c r="F10" s="419">
        <f>E10*$F$2/10</f>
        <v>286755</v>
      </c>
      <c r="G10" s="56" t="s">
        <v>420</v>
      </c>
      <c r="H10" s="56"/>
      <c r="I10" s="57"/>
    </row>
    <row r="11" spans="1:9" ht="21" customHeight="1">
      <c r="A11" s="685"/>
      <c r="B11" s="686"/>
      <c r="C11" s="480"/>
      <c r="D11" s="477" t="s">
        <v>115</v>
      </c>
      <c r="E11" s="418">
        <f>⑤支出!J108</f>
        <v>0</v>
      </c>
      <c r="F11" s="419">
        <f>E11*$F$2/10</f>
        <v>0</v>
      </c>
      <c r="G11" s="56" t="s">
        <v>421</v>
      </c>
      <c r="H11" s="56"/>
      <c r="I11" s="57"/>
    </row>
    <row r="12" spans="1:9" ht="21" customHeight="1">
      <c r="A12" s="685"/>
      <c r="B12" s="686"/>
      <c r="C12" s="480"/>
      <c r="D12" s="477" t="s">
        <v>150</v>
      </c>
      <c r="E12" s="52">
        <f>⑤支出!J115</f>
        <v>0</v>
      </c>
      <c r="F12" s="419">
        <f t="shared" ref="F12:F21" si="0">E12*$F$2/10</f>
        <v>0</v>
      </c>
      <c r="G12" s="56" t="s">
        <v>422</v>
      </c>
      <c r="H12" s="59"/>
      <c r="I12" s="60"/>
    </row>
    <row r="13" spans="1:9" ht="21" customHeight="1">
      <c r="A13" s="685"/>
      <c r="B13" s="686"/>
      <c r="C13" s="480"/>
      <c r="D13" s="478" t="s">
        <v>424</v>
      </c>
      <c r="E13" s="52">
        <f>⑤支出!J120</f>
        <v>0</v>
      </c>
      <c r="F13" s="419">
        <f t="shared" si="0"/>
        <v>0</v>
      </c>
      <c r="G13" s="56" t="s">
        <v>425</v>
      </c>
      <c r="H13" s="59"/>
      <c r="I13" s="60"/>
    </row>
    <row r="14" spans="1:9" ht="21" customHeight="1">
      <c r="A14" s="685"/>
      <c r="B14" s="686"/>
      <c r="C14" s="481"/>
      <c r="D14" s="478" t="s">
        <v>403</v>
      </c>
      <c r="E14" s="52">
        <f>⑤支出!J126</f>
        <v>7800</v>
      </c>
      <c r="F14" s="419">
        <f t="shared" si="0"/>
        <v>819000</v>
      </c>
      <c r="G14" s="56" t="s">
        <v>423</v>
      </c>
      <c r="H14" s="62"/>
      <c r="I14" s="61"/>
    </row>
    <row r="15" spans="1:9" ht="21" customHeight="1">
      <c r="A15" s="685"/>
      <c r="B15" s="685"/>
      <c r="C15" s="691" t="s">
        <v>392</v>
      </c>
      <c r="D15" s="420" t="s">
        <v>405</v>
      </c>
      <c r="E15" s="51">
        <f>②償却資産!S8</f>
        <v>141.71428571428572</v>
      </c>
      <c r="F15" s="419">
        <f t="shared" si="0"/>
        <v>14880</v>
      </c>
      <c r="G15" s="63" t="s">
        <v>388</v>
      </c>
      <c r="H15" s="63"/>
      <c r="I15" s="312"/>
    </row>
    <row r="16" spans="1:9" ht="21" customHeight="1">
      <c r="A16" s="685"/>
      <c r="B16" s="685"/>
      <c r="C16" s="692"/>
      <c r="D16" s="316" t="s">
        <v>389</v>
      </c>
      <c r="E16" s="52">
        <f>②償却資産!S19</f>
        <v>0</v>
      </c>
      <c r="F16" s="419">
        <f t="shared" ref="F16" si="1">E16*$F$2/10</f>
        <v>0</v>
      </c>
      <c r="G16" s="63" t="s">
        <v>390</v>
      </c>
      <c r="H16" s="63"/>
      <c r="I16" s="312"/>
    </row>
    <row r="17" spans="1:9" ht="21" customHeight="1">
      <c r="A17" s="685"/>
      <c r="B17" s="685"/>
      <c r="C17" s="693"/>
      <c r="D17" s="315" t="s">
        <v>151</v>
      </c>
      <c r="E17" s="52">
        <f>②償却資産!S34</f>
        <v>2099.1657142857139</v>
      </c>
      <c r="F17" s="419">
        <f t="shared" si="0"/>
        <v>220412.39999999997</v>
      </c>
      <c r="G17" s="63" t="s">
        <v>391</v>
      </c>
      <c r="H17" s="63"/>
      <c r="I17" s="312"/>
    </row>
    <row r="18" spans="1:9" ht="21" customHeight="1">
      <c r="A18" s="685"/>
      <c r="B18" s="685"/>
      <c r="C18" s="694" t="s">
        <v>393</v>
      </c>
      <c r="D18" s="420" t="s">
        <v>406</v>
      </c>
      <c r="E18" s="52">
        <f>②償却資産!R8</f>
        <v>590</v>
      </c>
      <c r="F18" s="419">
        <f t="shared" si="0"/>
        <v>61950</v>
      </c>
      <c r="G18" s="63" t="s">
        <v>397</v>
      </c>
      <c r="H18" s="63"/>
      <c r="I18" s="312"/>
    </row>
    <row r="19" spans="1:9" ht="21" customHeight="1">
      <c r="A19" s="685"/>
      <c r="B19" s="685"/>
      <c r="C19" s="692"/>
      <c r="D19" s="316" t="s">
        <v>394</v>
      </c>
      <c r="E19" s="51">
        <f>②償却資産!R19</f>
        <v>0</v>
      </c>
      <c r="F19" s="419">
        <f t="shared" si="0"/>
        <v>0</v>
      </c>
      <c r="G19" s="63" t="s">
        <v>560</v>
      </c>
      <c r="H19" s="63"/>
      <c r="I19" s="312"/>
    </row>
    <row r="20" spans="1:9" ht="21" customHeight="1">
      <c r="A20" s="685"/>
      <c r="B20" s="685"/>
      <c r="C20" s="692"/>
      <c r="D20" s="316" t="s">
        <v>395</v>
      </c>
      <c r="E20" s="52">
        <f>②償却資産!R34</f>
        <v>7735</v>
      </c>
      <c r="F20" s="419">
        <f t="shared" si="0"/>
        <v>812175</v>
      </c>
      <c r="G20" s="63" t="s">
        <v>561</v>
      </c>
      <c r="H20" s="63"/>
      <c r="I20" s="312"/>
    </row>
    <row r="21" spans="1:9" ht="21" customHeight="1">
      <c r="A21" s="685"/>
      <c r="B21" s="685"/>
      <c r="C21" s="693"/>
      <c r="D21" s="316" t="s">
        <v>396</v>
      </c>
      <c r="E21" s="52">
        <f>②償却資産!R37</f>
        <v>0</v>
      </c>
      <c r="F21" s="419">
        <f t="shared" si="0"/>
        <v>0</v>
      </c>
      <c r="G21" s="63" t="s">
        <v>562</v>
      </c>
      <c r="H21" s="63"/>
      <c r="I21" s="64"/>
    </row>
    <row r="22" spans="1:9" ht="21" customHeight="1">
      <c r="A22" s="685"/>
      <c r="B22" s="689"/>
      <c r="C22" s="487"/>
      <c r="D22" s="482" t="s">
        <v>253</v>
      </c>
      <c r="E22" s="65">
        <f>⑤支出!J132</f>
        <v>7699</v>
      </c>
      <c r="F22" s="317">
        <f>(作業体系表!AN34-作業体系表!AN36)*⑤支出!F127+作業体系表!AN36*⑤支出!F128</f>
        <v>824903.18829853297</v>
      </c>
      <c r="G22" s="677" t="str">
        <f>"⑤支出　労働費　※基幹労働(時給"&amp;⑤支出!F127&amp;"円、自家労賃含む)、補助労働(時給"&amp;⑤支出!F128&amp;"円)"</f>
        <v>⑤支出　労働費　※基幹労働(時給962円、自家労賃含む)、補助労働(時給753円)</v>
      </c>
      <c r="H22" s="678"/>
      <c r="I22" s="679"/>
    </row>
    <row r="23" spans="1:9" ht="21" customHeight="1">
      <c r="A23" s="685"/>
      <c r="B23" s="690"/>
      <c r="C23" s="494"/>
      <c r="D23" s="495" t="s">
        <v>152</v>
      </c>
      <c r="E23" s="66">
        <f>SUM(E7:E22)</f>
        <v>40964.880000000005</v>
      </c>
      <c r="F23" s="318">
        <f>SUM(F7:F22)</f>
        <v>4317820.5882985331</v>
      </c>
      <c r="G23" s="67"/>
      <c r="H23" s="67"/>
      <c r="I23" s="68"/>
    </row>
    <row r="24" spans="1:9" ht="21" customHeight="1">
      <c r="A24" s="685"/>
      <c r="B24" s="697" t="s">
        <v>125</v>
      </c>
      <c r="C24" s="487"/>
      <c r="D24" s="496" t="s">
        <v>153</v>
      </c>
      <c r="E24" s="69">
        <f>⑤支出!J136+⑤支出!J137+⑤支出!J138</f>
        <v>5679.8771999999999</v>
      </c>
      <c r="F24" s="319">
        <f>E24*$F$2/10</f>
        <v>596387.10599999991</v>
      </c>
      <c r="G24" s="669" t="str">
        <f>"⑤支出　"&amp;⑤支出!B133&amp;"　"&amp;⑤支出!C136&amp;"、"&amp;⑤支出!C137&amp;"、"&amp;⑤支出!C138</f>
        <v>⑤支出　販売費用　ＪＡ手数料、全農手数料、市場手数料</v>
      </c>
      <c r="H24" s="670"/>
      <c r="I24" s="670"/>
    </row>
    <row r="25" spans="1:9" ht="21" customHeight="1">
      <c r="A25" s="685"/>
      <c r="B25" s="689"/>
      <c r="C25" s="488"/>
      <c r="D25" s="483" t="s">
        <v>126</v>
      </c>
      <c r="E25" s="52">
        <f>⑤支出!J134</f>
        <v>0</v>
      </c>
      <c r="F25" s="419">
        <f>E25*$F$2/10</f>
        <v>0</v>
      </c>
      <c r="G25" s="70" t="str">
        <f>"⑤支出　"&amp;⑤支出!B133&amp;"　"&amp;⑤支出!C134</f>
        <v>⑤支出　販売費用　出荷運賃</v>
      </c>
      <c r="H25" s="70"/>
      <c r="I25" s="71"/>
    </row>
    <row r="26" spans="1:9" ht="21" customHeight="1">
      <c r="A26" s="685"/>
      <c r="B26" s="689"/>
      <c r="C26" s="488"/>
      <c r="D26" s="491" t="s">
        <v>154</v>
      </c>
      <c r="E26" s="51">
        <f>⑤支出!J133</f>
        <v>800</v>
      </c>
      <c r="F26" s="320">
        <f>E26*$F$2/10</f>
        <v>84000</v>
      </c>
      <c r="G26" s="70" t="str">
        <f>"⑤支出　"&amp;⑤支出!B133&amp;"　"&amp;⑤支出!C133</f>
        <v>⑤支出　販売費用　出荷袋</v>
      </c>
      <c r="H26" s="58"/>
      <c r="I26" s="72"/>
    </row>
    <row r="27" spans="1:9" ht="21" customHeight="1">
      <c r="A27" s="685"/>
      <c r="B27" s="689"/>
      <c r="C27" s="488"/>
      <c r="D27" s="483" t="s">
        <v>155</v>
      </c>
      <c r="E27" s="52">
        <f>⑤支出!J135</f>
        <v>0</v>
      </c>
      <c r="F27" s="419">
        <f>E27*$F$2/10</f>
        <v>0</v>
      </c>
      <c r="G27" s="70" t="str">
        <f>"⑤支出　"&amp;⑤支出!B133&amp;"　"&amp;⑤支出!C135</f>
        <v>⑤支出　販売費用　選果料</v>
      </c>
      <c r="H27" s="63"/>
      <c r="I27" s="312"/>
    </row>
    <row r="28" spans="1:9" ht="21" customHeight="1">
      <c r="A28" s="685"/>
      <c r="B28" s="689"/>
      <c r="C28" s="488"/>
      <c r="D28" s="492" t="s">
        <v>156</v>
      </c>
      <c r="E28" s="65">
        <f>⑤支出!J143-⑤支出!J133-⑤支出!J134-⑤支出!J135-⑤支出!J136-⑤支出!J137-⑤支出!J138</f>
        <v>0</v>
      </c>
      <c r="F28" s="317">
        <f>E28*$F$2/10</f>
        <v>0</v>
      </c>
      <c r="G28" s="70" t="str">
        <f>"⑤支出　"&amp;⑤支出!B133</f>
        <v>⑤支出　販売費用</v>
      </c>
      <c r="H28" s="324"/>
      <c r="I28" s="325"/>
    </row>
    <row r="29" spans="1:9" ht="21" customHeight="1">
      <c r="A29" s="685"/>
      <c r="B29" s="690"/>
      <c r="C29" s="493"/>
      <c r="D29" s="486" t="s">
        <v>152</v>
      </c>
      <c r="E29" s="66">
        <f>SUM(E24:E28)</f>
        <v>6479.8771999999999</v>
      </c>
      <c r="F29" s="318">
        <f>SUM(F24:F28)</f>
        <v>680387.10599999991</v>
      </c>
      <c r="G29" s="67"/>
      <c r="H29" s="67"/>
      <c r="I29" s="68"/>
    </row>
    <row r="30" spans="1:9" ht="21" customHeight="1">
      <c r="A30" s="685"/>
      <c r="B30" s="697" t="s">
        <v>108</v>
      </c>
      <c r="C30" s="490"/>
      <c r="D30" s="484" t="s">
        <v>274</v>
      </c>
      <c r="E30" s="51">
        <f>②償却資産!L47</f>
        <v>333</v>
      </c>
      <c r="F30" s="320">
        <f t="shared" ref="F30:F34" si="2">E30*$F$2/10</f>
        <v>34965</v>
      </c>
      <c r="G30" s="667" t="str">
        <f>CONCATENATE("償却資産取得額の",FIXED(②償却資産!$L$43*100,0),"%を利率",FIXED(②償却資産!$L$46*100,0),"%で借入")</f>
        <v>償却資産取得額の50%を利率2%で借入</v>
      </c>
      <c r="H30" s="668"/>
      <c r="I30" s="668"/>
    </row>
    <row r="31" spans="1:9" ht="21" customHeight="1">
      <c r="A31" s="685"/>
      <c r="B31" s="689"/>
      <c r="C31" s="488"/>
      <c r="D31" s="512" t="s">
        <v>254</v>
      </c>
      <c r="E31" s="52">
        <f>⑤支出!J148</f>
        <v>4750</v>
      </c>
      <c r="F31" s="419">
        <f t="shared" si="2"/>
        <v>498750</v>
      </c>
      <c r="G31" s="664" t="s">
        <v>436</v>
      </c>
      <c r="H31" s="665"/>
      <c r="I31" s="666"/>
    </row>
    <row r="32" spans="1:9" ht="21" customHeight="1">
      <c r="A32" s="685"/>
      <c r="B32" s="689"/>
      <c r="C32" s="488"/>
      <c r="D32" s="485" t="s">
        <v>429</v>
      </c>
      <c r="E32" s="65">
        <f>⑤支出!J153</f>
        <v>907</v>
      </c>
      <c r="F32" s="317">
        <f t="shared" si="2"/>
        <v>95235</v>
      </c>
      <c r="G32" s="664" t="s">
        <v>437</v>
      </c>
      <c r="H32" s="665"/>
      <c r="I32" s="666"/>
    </row>
    <row r="33" spans="1:10" ht="21" customHeight="1">
      <c r="A33" s="685"/>
      <c r="B33" s="689"/>
      <c r="C33" s="488"/>
      <c r="D33" s="485" t="s">
        <v>431</v>
      </c>
      <c r="E33" s="65">
        <f>⑤支出!J158</f>
        <v>1300</v>
      </c>
      <c r="F33" s="317">
        <f t="shared" si="2"/>
        <v>136500</v>
      </c>
      <c r="G33" s="664" t="s">
        <v>438</v>
      </c>
      <c r="H33" s="665"/>
      <c r="I33" s="666"/>
    </row>
    <row r="34" spans="1:10" ht="21" customHeight="1">
      <c r="A34" s="686"/>
      <c r="B34" s="698"/>
      <c r="C34" s="488"/>
      <c r="D34" s="485" t="s">
        <v>433</v>
      </c>
      <c r="E34" s="65">
        <f>⑤支出!J163</f>
        <v>0</v>
      </c>
      <c r="F34" s="317">
        <f t="shared" si="2"/>
        <v>0</v>
      </c>
      <c r="G34" s="664" t="s">
        <v>439</v>
      </c>
      <c r="H34" s="665"/>
      <c r="I34" s="666"/>
    </row>
    <row r="35" spans="1:10" ht="21" customHeight="1">
      <c r="A35" s="685"/>
      <c r="B35" s="689"/>
      <c r="C35" s="488"/>
      <c r="D35" s="485" t="s">
        <v>440</v>
      </c>
      <c r="E35" s="65">
        <f>⑤支出!J175</f>
        <v>0</v>
      </c>
      <c r="F35" s="317">
        <f>E35*$F$2/10</f>
        <v>0</v>
      </c>
      <c r="G35" s="664" t="s">
        <v>441</v>
      </c>
      <c r="H35" s="665"/>
      <c r="I35" s="666"/>
    </row>
    <row r="36" spans="1:10" ht="21" customHeight="1">
      <c r="A36" s="685"/>
      <c r="B36" s="690"/>
      <c r="C36" s="489"/>
      <c r="D36" s="486" t="s">
        <v>152</v>
      </c>
      <c r="E36" s="321">
        <f>SUM(E30:E35)</f>
        <v>7290</v>
      </c>
      <c r="F36" s="322">
        <f>SUM(F30:F35)</f>
        <v>765450</v>
      </c>
      <c r="G36" s="67"/>
      <c r="H36" s="67"/>
      <c r="I36" s="68"/>
    </row>
    <row r="37" spans="1:10" ht="21" customHeight="1">
      <c r="A37" s="687"/>
      <c r="B37" s="695" t="s">
        <v>158</v>
      </c>
      <c r="C37" s="695"/>
      <c r="D37" s="696"/>
      <c r="E37" s="53">
        <f>E23+E29+E36</f>
        <v>54734.757200000007</v>
      </c>
      <c r="F37" s="53">
        <f>F23+F29+F36</f>
        <v>5763657.6942985328</v>
      </c>
      <c r="G37" s="73"/>
      <c r="H37" s="74"/>
      <c r="I37" s="72"/>
    </row>
    <row r="38" spans="1:10" ht="21" customHeight="1">
      <c r="A38" s="75"/>
      <c r="B38" s="76" t="s">
        <v>255</v>
      </c>
      <c r="C38" s="76"/>
      <c r="D38" s="76"/>
      <c r="E38" s="77">
        <f>E6-E37</f>
        <v>18625.242799999993</v>
      </c>
      <c r="F38" s="77">
        <f>F6-F37</f>
        <v>1939142.3057014672</v>
      </c>
      <c r="G38" s="78" t="str">
        <f>IF(E6=0,"",CONCATENATE("所得率",FIXED($E$38/$E$6*100,0),"%"))</f>
        <v>所得率25%</v>
      </c>
      <c r="H38" s="79"/>
      <c r="I38" s="80"/>
    </row>
    <row r="39" spans="1:10" ht="21" customHeight="1">
      <c r="A39" s="680" t="s">
        <v>256</v>
      </c>
      <c r="B39" s="681"/>
      <c r="C39" s="681"/>
      <c r="D39" s="682"/>
      <c r="E39" s="656">
        <f>E22+E31+E38</f>
        <v>31074.242799999993</v>
      </c>
      <c r="F39" s="81">
        <f>F22+F31+F38</f>
        <v>3262795.4939999999</v>
      </c>
      <c r="G39" s="82"/>
      <c r="H39" s="82"/>
      <c r="I39" s="83"/>
    </row>
    <row r="40" spans="1:10" ht="21" customHeight="1">
      <c r="A40" s="99"/>
      <c r="B40" s="99"/>
      <c r="C40" s="99"/>
      <c r="D40" s="503"/>
      <c r="E40" s="99"/>
      <c r="F40" s="99"/>
      <c r="G40" s="99"/>
      <c r="H40" s="99"/>
      <c r="I40" s="99"/>
      <c r="J40" s="99"/>
    </row>
    <row r="41" spans="1:10" ht="21" customHeight="1">
      <c r="A41" s="99"/>
      <c r="B41" s="99"/>
      <c r="C41" s="99"/>
      <c r="D41" s="503"/>
      <c r="E41" s="99"/>
      <c r="F41" s="99"/>
      <c r="G41" s="99"/>
      <c r="H41" s="99"/>
      <c r="I41" s="99"/>
      <c r="J41" s="99"/>
    </row>
    <row r="42" spans="1:10" ht="21" customHeight="1">
      <c r="A42" s="99"/>
      <c r="B42" s="99"/>
      <c r="C42" s="99"/>
      <c r="D42" s="503"/>
      <c r="E42" s="99"/>
      <c r="F42" s="99"/>
      <c r="G42" s="99"/>
      <c r="H42" s="99"/>
      <c r="I42" s="99"/>
      <c r="J42" s="99"/>
    </row>
    <row r="43" spans="1:10" ht="21" customHeight="1">
      <c r="A43" s="99"/>
      <c r="B43" s="99"/>
      <c r="C43" s="99"/>
      <c r="D43" s="503"/>
      <c r="E43" s="99"/>
      <c r="F43" s="99"/>
      <c r="G43" s="99"/>
      <c r="H43" s="99"/>
      <c r="I43" s="99"/>
      <c r="J43" s="99"/>
    </row>
    <row r="44" spans="1:10" ht="21" customHeight="1">
      <c r="A44" s="99"/>
      <c r="B44" s="99"/>
      <c r="C44" s="99"/>
      <c r="D44" s="503"/>
      <c r="E44" s="99"/>
      <c r="F44" s="99"/>
      <c r="G44" s="99"/>
      <c r="H44" s="99"/>
      <c r="I44" s="99"/>
      <c r="J44" s="99"/>
    </row>
    <row r="45" spans="1:10" ht="21" customHeight="1">
      <c r="A45" s="99"/>
      <c r="B45" s="99"/>
      <c r="C45" s="99"/>
      <c r="D45" s="503"/>
      <c r="E45" s="99"/>
      <c r="F45" s="99"/>
      <c r="G45" s="99"/>
      <c r="H45" s="99"/>
      <c r="I45" s="99"/>
      <c r="J45" s="99"/>
    </row>
    <row r="46" spans="1:10" ht="16.899999999999999" customHeight="1">
      <c r="A46" s="99"/>
      <c r="B46" s="99"/>
      <c r="C46" s="99"/>
      <c r="D46" s="503"/>
      <c r="E46" s="99"/>
      <c r="F46" s="99"/>
      <c r="G46" s="99"/>
      <c r="H46" s="99"/>
      <c r="I46" s="99"/>
      <c r="J46" s="99"/>
    </row>
    <row r="47" spans="1:10" ht="16.899999999999999" customHeight="1">
      <c r="A47" s="99"/>
      <c r="B47" s="99"/>
      <c r="C47" s="99"/>
      <c r="D47" s="503"/>
      <c r="E47" s="99"/>
      <c r="F47" s="99"/>
      <c r="G47" s="99"/>
      <c r="H47" s="99"/>
      <c r="I47" s="99"/>
      <c r="J47" s="99"/>
    </row>
    <row r="48" spans="1:10" ht="16.899999999999999" customHeight="1">
      <c r="A48" s="99"/>
      <c r="B48" s="99"/>
      <c r="C48" s="99"/>
      <c r="D48" s="503"/>
      <c r="E48" s="99"/>
      <c r="F48" s="99"/>
      <c r="G48" s="99"/>
      <c r="H48" s="99"/>
      <c r="I48" s="99"/>
      <c r="J48" s="99"/>
    </row>
    <row r="49" spans="1:10" ht="16.899999999999999" customHeight="1">
      <c r="A49" s="99"/>
      <c r="B49" s="99"/>
      <c r="C49" s="99"/>
      <c r="D49" s="503"/>
      <c r="E49" s="99"/>
      <c r="F49" s="99"/>
      <c r="G49" s="99"/>
      <c r="H49" s="99"/>
      <c r="I49" s="99"/>
      <c r="J49" s="99"/>
    </row>
    <row r="50" spans="1:10" ht="16.899999999999999" customHeight="1">
      <c r="A50" s="99"/>
      <c r="B50" s="99"/>
      <c r="C50" s="99"/>
      <c r="D50" s="503"/>
      <c r="E50" s="99"/>
      <c r="F50" s="99"/>
      <c r="G50" s="99"/>
      <c r="H50" s="99"/>
      <c r="I50" s="99"/>
      <c r="J50" s="99"/>
    </row>
    <row r="51" spans="1:10" ht="16.899999999999999" customHeight="1">
      <c r="A51" s="99"/>
      <c r="B51" s="99"/>
      <c r="C51" s="99"/>
      <c r="D51" s="503"/>
      <c r="E51" s="99"/>
      <c r="F51" s="99"/>
      <c r="G51" s="99"/>
      <c r="H51" s="99"/>
      <c r="I51" s="99"/>
      <c r="J51" s="99"/>
    </row>
    <row r="52" spans="1:10" ht="16.899999999999999" customHeight="1">
      <c r="A52" s="99"/>
      <c r="B52" s="99"/>
      <c r="C52" s="99"/>
      <c r="D52" s="503"/>
      <c r="E52" s="99"/>
      <c r="F52" s="99"/>
      <c r="G52" s="99"/>
      <c r="H52" s="99"/>
      <c r="I52" s="99"/>
      <c r="J52" s="99"/>
    </row>
    <row r="53" spans="1:10" ht="16.899999999999999" customHeight="1">
      <c r="A53" s="99"/>
      <c r="B53" s="99"/>
      <c r="C53" s="99"/>
      <c r="D53" s="503"/>
      <c r="E53" s="99"/>
      <c r="F53" s="99"/>
      <c r="G53" s="99"/>
      <c r="H53" s="99"/>
      <c r="I53" s="99"/>
      <c r="J53" s="99"/>
    </row>
    <row r="54" spans="1:10" ht="16.899999999999999" customHeight="1">
      <c r="A54" s="99"/>
      <c r="B54" s="99"/>
      <c r="C54" s="99"/>
      <c r="D54" s="503"/>
      <c r="E54" s="99"/>
      <c r="F54" s="99"/>
      <c r="G54" s="99"/>
      <c r="H54" s="99"/>
      <c r="I54" s="99"/>
      <c r="J54" s="99"/>
    </row>
    <row r="55" spans="1:10" ht="16.899999999999999" customHeight="1">
      <c r="A55" s="99"/>
      <c r="B55" s="99"/>
      <c r="C55" s="99"/>
      <c r="D55" s="503"/>
      <c r="E55" s="99"/>
      <c r="F55" s="99"/>
      <c r="G55" s="99"/>
      <c r="H55" s="99"/>
      <c r="I55" s="99"/>
      <c r="J55" s="99"/>
    </row>
    <row r="56" spans="1:10" ht="16.899999999999999" customHeight="1">
      <c r="A56" s="99"/>
      <c r="B56" s="99"/>
      <c r="C56" s="99"/>
      <c r="D56" s="503"/>
      <c r="E56" s="99"/>
      <c r="F56" s="99"/>
      <c r="G56" s="99"/>
      <c r="H56" s="99"/>
      <c r="I56" s="99"/>
      <c r="J56" s="99"/>
    </row>
    <row r="57" spans="1:10" ht="16.899999999999999" customHeight="1">
      <c r="A57" s="99"/>
      <c r="B57" s="99"/>
      <c r="C57" s="99"/>
      <c r="D57" s="503"/>
      <c r="E57" s="99"/>
      <c r="F57" s="99"/>
      <c r="G57" s="99"/>
      <c r="H57" s="99"/>
      <c r="I57" s="99"/>
      <c r="J57" s="99"/>
    </row>
    <row r="58" spans="1:10" ht="16.899999999999999" customHeight="1">
      <c r="A58" s="99"/>
      <c r="B58" s="99"/>
      <c r="C58" s="99"/>
      <c r="D58" s="503"/>
      <c r="E58" s="99"/>
      <c r="F58" s="99"/>
      <c r="G58" s="99"/>
      <c r="H58" s="99"/>
      <c r="I58" s="99"/>
      <c r="J58" s="99"/>
    </row>
    <row r="59" spans="1:10" ht="16.899999999999999" customHeight="1">
      <c r="A59" s="99"/>
      <c r="B59" s="99"/>
      <c r="C59" s="99"/>
      <c r="D59" s="503"/>
      <c r="E59" s="99"/>
      <c r="F59" s="99"/>
      <c r="G59" s="99"/>
      <c r="H59" s="99"/>
      <c r="I59" s="99"/>
      <c r="J59" s="99"/>
    </row>
    <row r="60" spans="1:10" ht="16.899999999999999" customHeight="1">
      <c r="A60" s="99"/>
      <c r="B60" s="99"/>
      <c r="C60" s="99"/>
      <c r="D60" s="503"/>
      <c r="E60" s="99"/>
      <c r="F60" s="99"/>
      <c r="G60" s="99"/>
      <c r="H60" s="99"/>
      <c r="I60" s="99"/>
      <c r="J60" s="99"/>
    </row>
    <row r="61" spans="1:10" ht="16.899999999999999" customHeight="1">
      <c r="A61" s="99"/>
      <c r="B61" s="99"/>
      <c r="C61" s="99"/>
      <c r="D61" s="503"/>
      <c r="E61" s="99"/>
      <c r="F61" s="99"/>
      <c r="G61" s="99"/>
      <c r="H61" s="99"/>
      <c r="I61" s="99"/>
      <c r="J61" s="99"/>
    </row>
    <row r="62" spans="1:10" ht="16.899999999999999" customHeight="1">
      <c r="A62" s="99"/>
      <c r="B62" s="99"/>
      <c r="C62" s="99"/>
      <c r="D62" s="503"/>
      <c r="E62" s="99"/>
      <c r="F62" s="99"/>
      <c r="G62" s="99"/>
      <c r="H62" s="99"/>
      <c r="I62" s="99"/>
      <c r="J62" s="99"/>
    </row>
    <row r="63" spans="1:10" ht="16.899999999999999" customHeight="1">
      <c r="A63" s="99"/>
      <c r="B63" s="99"/>
      <c r="C63" s="99"/>
      <c r="D63" s="503"/>
      <c r="E63" s="99"/>
      <c r="F63" s="99"/>
      <c r="G63" s="99"/>
      <c r="H63" s="99"/>
      <c r="I63" s="99"/>
      <c r="J63" s="99"/>
    </row>
    <row r="64" spans="1:10" ht="16.899999999999999" customHeight="1">
      <c r="A64" s="99"/>
      <c r="B64" s="99"/>
      <c r="C64" s="99"/>
      <c r="D64" s="503"/>
      <c r="E64" s="99"/>
      <c r="F64" s="99"/>
      <c r="G64" s="99"/>
      <c r="H64" s="99"/>
      <c r="I64" s="99"/>
      <c r="J64" s="99"/>
    </row>
    <row r="65" spans="1:10" ht="16.899999999999999" customHeight="1">
      <c r="A65" s="99"/>
      <c r="B65" s="99"/>
      <c r="C65" s="99"/>
      <c r="D65" s="503"/>
      <c r="E65" s="99"/>
      <c r="F65" s="99"/>
      <c r="G65" s="99"/>
      <c r="H65" s="99"/>
      <c r="I65" s="99"/>
      <c r="J65" s="99"/>
    </row>
    <row r="66" spans="1:10" ht="16.899999999999999" customHeight="1">
      <c r="A66" s="99"/>
      <c r="B66" s="99"/>
      <c r="C66" s="99"/>
      <c r="D66" s="503"/>
      <c r="E66" s="99"/>
      <c r="F66" s="99"/>
      <c r="G66" s="99"/>
      <c r="H66" s="99"/>
      <c r="I66" s="99"/>
      <c r="J66" s="99"/>
    </row>
    <row r="67" spans="1:10" ht="16.899999999999999" customHeight="1">
      <c r="A67" s="99"/>
      <c r="B67" s="99"/>
      <c r="C67" s="99"/>
      <c r="D67" s="503"/>
      <c r="E67" s="99"/>
      <c r="F67" s="99"/>
      <c r="G67" s="99"/>
      <c r="H67" s="99"/>
      <c r="I67" s="99"/>
      <c r="J67" s="99"/>
    </row>
    <row r="68" spans="1:10" ht="16.899999999999999" customHeight="1">
      <c r="A68" s="99"/>
      <c r="B68" s="99"/>
      <c r="C68" s="99"/>
      <c r="D68" s="503"/>
      <c r="E68" s="99"/>
      <c r="F68" s="99"/>
      <c r="G68" s="99"/>
      <c r="H68" s="99"/>
      <c r="I68" s="99"/>
      <c r="J68" s="99"/>
    </row>
    <row r="69" spans="1:10" ht="16.899999999999999" customHeight="1">
      <c r="A69" s="99"/>
      <c r="B69" s="99"/>
      <c r="C69" s="99"/>
      <c r="D69" s="503"/>
      <c r="E69" s="99"/>
      <c r="F69" s="99"/>
      <c r="G69" s="99"/>
      <c r="H69" s="99"/>
      <c r="I69" s="99"/>
      <c r="J69" s="99"/>
    </row>
    <row r="70" spans="1:10" ht="16.899999999999999" customHeight="1">
      <c r="A70" s="99"/>
      <c r="B70" s="99"/>
      <c r="C70" s="99"/>
      <c r="D70" s="503"/>
      <c r="E70" s="99"/>
      <c r="F70" s="99"/>
      <c r="G70" s="99"/>
      <c r="H70" s="99"/>
      <c r="I70" s="99"/>
      <c r="J70" s="99"/>
    </row>
    <row r="71" spans="1:10" ht="16.899999999999999" customHeight="1">
      <c r="A71" s="99"/>
      <c r="B71" s="99"/>
      <c r="C71" s="99"/>
      <c r="D71" s="503"/>
      <c r="E71" s="99"/>
      <c r="F71" s="99"/>
      <c r="G71" s="99"/>
      <c r="H71" s="99"/>
      <c r="I71" s="99"/>
      <c r="J71" s="99"/>
    </row>
    <row r="72" spans="1:10" ht="16.899999999999999" customHeight="1">
      <c r="A72" s="99"/>
      <c r="B72" s="99"/>
      <c r="C72" s="99"/>
      <c r="D72" s="503"/>
      <c r="E72" s="99"/>
      <c r="F72" s="99"/>
      <c r="G72" s="99"/>
      <c r="H72" s="99"/>
      <c r="I72" s="99"/>
      <c r="J72" s="99"/>
    </row>
    <row r="73" spans="1:10" ht="16.899999999999999" customHeight="1">
      <c r="A73" s="99"/>
      <c r="B73" s="99"/>
      <c r="C73" s="99"/>
      <c r="D73" s="503"/>
      <c r="E73" s="99"/>
      <c r="F73" s="99"/>
      <c r="G73" s="99"/>
      <c r="H73" s="99"/>
      <c r="I73" s="99"/>
      <c r="J73" s="99"/>
    </row>
    <row r="74" spans="1:10" ht="16.899999999999999" customHeight="1">
      <c r="A74" s="99"/>
      <c r="B74" s="99"/>
      <c r="C74" s="99"/>
      <c r="D74" s="503"/>
      <c r="E74" s="99"/>
      <c r="F74" s="99"/>
      <c r="G74" s="99"/>
      <c r="H74" s="99"/>
      <c r="I74" s="99"/>
      <c r="J74" s="99"/>
    </row>
    <row r="75" spans="1:10" ht="16.899999999999999" customHeight="1">
      <c r="A75" s="99"/>
      <c r="B75" s="99"/>
      <c r="C75" s="99"/>
      <c r="D75" s="503"/>
      <c r="E75" s="99"/>
      <c r="F75" s="99"/>
      <c r="G75" s="99"/>
      <c r="H75" s="99"/>
      <c r="I75" s="99"/>
      <c r="J75" s="99"/>
    </row>
    <row r="76" spans="1:10" ht="12.75" hidden="1" customHeight="1">
      <c r="A76" s="99"/>
      <c r="B76" s="99"/>
      <c r="C76" s="99"/>
      <c r="D76" s="503"/>
      <c r="E76" s="99"/>
      <c r="F76" s="99"/>
      <c r="G76" s="99"/>
      <c r="H76" s="99"/>
      <c r="I76" s="99"/>
      <c r="J76" s="99"/>
    </row>
    <row r="77" spans="1:10" ht="12.75" hidden="1" customHeight="1">
      <c r="A77" s="99"/>
      <c r="B77" s="99"/>
      <c r="C77" s="99"/>
      <c r="D77" s="503"/>
      <c r="E77" s="99"/>
      <c r="F77" s="99"/>
      <c r="G77" s="99"/>
      <c r="H77" s="99"/>
      <c r="I77" s="99"/>
      <c r="J77" s="99"/>
    </row>
    <row r="78" spans="1:10" ht="12.75" hidden="1" customHeight="1">
      <c r="A78" s="99"/>
      <c r="B78" s="99"/>
      <c r="C78" s="99"/>
      <c r="D78" s="503"/>
      <c r="E78" s="99"/>
      <c r="F78" s="99"/>
      <c r="G78" s="99"/>
      <c r="H78" s="99"/>
      <c r="I78" s="99"/>
      <c r="J78" s="99"/>
    </row>
    <row r="79" spans="1:10" ht="13.5" hidden="1">
      <c r="A79" s="99"/>
      <c r="B79" s="99"/>
      <c r="C79" s="99"/>
      <c r="D79" s="503"/>
      <c r="E79" s="99"/>
      <c r="F79" s="99"/>
      <c r="G79" s="99"/>
      <c r="H79" s="99"/>
      <c r="I79" s="99"/>
      <c r="J79" s="99"/>
    </row>
    <row r="80" spans="1:10" ht="13.5" hidden="1">
      <c r="A80" s="99"/>
      <c r="B80" s="99"/>
      <c r="C80" s="99"/>
      <c r="D80" s="503"/>
      <c r="E80" s="99"/>
      <c r="F80" s="99"/>
      <c r="G80" s="99"/>
      <c r="H80" s="99"/>
      <c r="I80" s="99"/>
      <c r="J80" s="99"/>
    </row>
    <row r="81" spans="1:10" ht="13.5" hidden="1">
      <c r="A81" s="99"/>
      <c r="B81" s="99"/>
      <c r="C81" s="99"/>
      <c r="D81" s="503"/>
      <c r="E81" s="99"/>
      <c r="F81" s="99"/>
      <c r="G81" s="99"/>
      <c r="H81" s="99"/>
      <c r="I81" s="99"/>
      <c r="J81" s="99"/>
    </row>
    <row r="82" spans="1:10" ht="13.5" hidden="1">
      <c r="A82" s="99"/>
      <c r="B82" s="99"/>
      <c r="C82" s="99"/>
      <c r="D82" s="503"/>
      <c r="E82" s="99"/>
      <c r="F82" s="99"/>
      <c r="G82" s="99"/>
      <c r="H82" s="99"/>
      <c r="I82" s="99"/>
      <c r="J82" s="99"/>
    </row>
    <row r="83" spans="1:10" ht="13.5">
      <c r="A83" s="99"/>
      <c r="B83" s="99"/>
      <c r="C83" s="99"/>
      <c r="D83" s="503"/>
      <c r="E83" s="99"/>
      <c r="F83" s="99"/>
      <c r="G83" s="99"/>
      <c r="H83" s="99"/>
      <c r="I83" s="99"/>
      <c r="J83" s="99"/>
    </row>
    <row r="84" spans="1:10" ht="13.5">
      <c r="A84" s="99"/>
      <c r="B84" s="99"/>
      <c r="C84" s="99"/>
      <c r="D84" s="503"/>
      <c r="E84" s="99"/>
      <c r="F84" s="99"/>
      <c r="G84" s="99"/>
      <c r="H84" s="99"/>
      <c r="I84" s="99"/>
      <c r="J84" s="99"/>
    </row>
    <row r="85" spans="1:10" ht="13.5">
      <c r="A85" s="99"/>
      <c r="B85" s="99"/>
      <c r="C85" s="99"/>
      <c r="D85" s="503"/>
      <c r="E85" s="99"/>
      <c r="F85" s="99"/>
      <c r="G85" s="99"/>
      <c r="H85" s="99"/>
      <c r="I85" s="99"/>
      <c r="J85" s="99"/>
    </row>
    <row r="86" spans="1:10" ht="13.5">
      <c r="A86" s="99"/>
      <c r="B86" s="99"/>
      <c r="C86" s="99"/>
      <c r="D86" s="503"/>
      <c r="E86" s="99"/>
      <c r="F86" s="99"/>
      <c r="G86" s="99"/>
      <c r="H86" s="99"/>
      <c r="I86" s="99"/>
      <c r="J86" s="99"/>
    </row>
    <row r="87" spans="1:10" ht="13.5">
      <c r="A87" s="99"/>
      <c r="B87" s="99"/>
      <c r="C87" s="99"/>
      <c r="D87" s="503"/>
      <c r="E87" s="99"/>
      <c r="F87" s="99"/>
      <c r="G87" s="99"/>
      <c r="H87" s="99"/>
      <c r="I87" s="99"/>
      <c r="J87" s="99"/>
    </row>
    <row r="88" spans="1:10" ht="13.5">
      <c r="A88" s="99"/>
      <c r="B88" s="99"/>
      <c r="C88" s="99"/>
      <c r="D88" s="503"/>
      <c r="E88" s="99"/>
      <c r="F88" s="99"/>
      <c r="G88" s="99"/>
      <c r="H88" s="99"/>
      <c r="I88" s="99"/>
      <c r="J88" s="99"/>
    </row>
    <row r="89" spans="1:10" ht="13.5">
      <c r="A89" s="99"/>
      <c r="B89" s="99"/>
      <c r="C89" s="99"/>
      <c r="D89" s="503"/>
      <c r="E89" s="99"/>
      <c r="F89" s="99"/>
      <c r="G89" s="99"/>
      <c r="H89" s="99"/>
      <c r="I89" s="99"/>
      <c r="J89" s="99"/>
    </row>
    <row r="90" spans="1:10" ht="13.5">
      <c r="A90" s="99"/>
      <c r="B90" s="99"/>
      <c r="C90" s="99"/>
      <c r="D90" s="503"/>
      <c r="E90" s="99"/>
      <c r="F90" s="99"/>
      <c r="G90" s="99"/>
      <c r="H90" s="99"/>
      <c r="I90" s="99"/>
      <c r="J90" s="99"/>
    </row>
    <row r="91" spans="1:10" ht="13.5">
      <c r="A91" s="99"/>
      <c r="B91" s="99"/>
      <c r="C91" s="99"/>
      <c r="D91" s="503"/>
      <c r="E91" s="99"/>
      <c r="F91" s="99"/>
      <c r="G91" s="99"/>
      <c r="H91" s="99"/>
      <c r="I91" s="99"/>
      <c r="J91" s="99"/>
    </row>
    <row r="92" spans="1:10" ht="13.5">
      <c r="A92" s="99"/>
      <c r="B92" s="99"/>
      <c r="C92" s="99"/>
      <c r="D92" s="503"/>
      <c r="E92" s="99"/>
      <c r="F92" s="99"/>
      <c r="G92" s="99"/>
      <c r="H92" s="99"/>
      <c r="I92" s="99"/>
      <c r="J92" s="99"/>
    </row>
    <row r="93" spans="1:10" ht="13.5" hidden="1">
      <c r="A93" s="99"/>
      <c r="B93" s="99"/>
      <c r="C93" s="99"/>
      <c r="D93" s="503"/>
      <c r="E93" s="99"/>
      <c r="F93" s="99"/>
      <c r="G93" s="99"/>
      <c r="H93" s="99"/>
      <c r="I93" s="99"/>
    </row>
    <row r="94" spans="1:10" ht="13.5">
      <c r="D94" s="503"/>
    </row>
    <row r="95" spans="1:10"/>
    <row r="96" spans="1:10"/>
    <row r="104"/>
    <row r="105"/>
    <row r="106"/>
    <row r="107"/>
    <row r="108"/>
    <row r="109"/>
    <row r="110"/>
    <row r="111"/>
    <row r="112"/>
    <row r="113"/>
    <row r="114"/>
    <row r="115"/>
    <row r="116"/>
    <row r="117"/>
    <row r="118"/>
    <row r="119"/>
  </sheetData>
  <sheetProtection sheet="1" objects="1" scenarios="1" selectLockedCells="1"/>
  <mergeCells count="27">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 ref="G32:I32"/>
    <mergeCell ref="G30:I30"/>
    <mergeCell ref="G24:I24"/>
    <mergeCell ref="B4:D4"/>
    <mergeCell ref="G4:I4"/>
    <mergeCell ref="B6:D6"/>
    <mergeCell ref="G6:I6"/>
    <mergeCell ref="G31:I31"/>
    <mergeCell ref="B5:D5"/>
    <mergeCell ref="G5:I5"/>
    <mergeCell ref="G22:I22"/>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&amp;L小麦「せときらら」11月下旬播種（平坦地）</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W428"/>
  <sheetViews>
    <sheetView showGridLines="0" zoomScalePageLayoutView="75" workbookViewId="0">
      <pane ySplit="2" topLeftCell="A133" activePane="bottomLeft" state="frozen"/>
      <selection activeCell="I22" sqref="I22"/>
      <selection pane="bottomLeft" activeCell="D122" sqref="D122"/>
    </sheetView>
  </sheetViews>
  <sheetFormatPr defaultRowHeight="12" zeroHeight="1" outlineLevelRow="1"/>
  <cols>
    <col min="1" max="1" width="2.125" style="199" customWidth="1"/>
    <col min="2" max="2" width="5.125" style="199" customWidth="1"/>
    <col min="3" max="3" width="18.875" style="199" bestFit="1" customWidth="1"/>
    <col min="4" max="4" width="9.625" style="199" bestFit="1" customWidth="1"/>
    <col min="5" max="5" width="6.625" style="199" customWidth="1"/>
    <col min="6" max="6" width="10.625" style="463" customWidth="1"/>
    <col min="7" max="7" width="7" style="199" customWidth="1"/>
    <col min="8" max="8" width="7.375" style="199" bestFit="1" customWidth="1"/>
    <col min="9" max="9" width="9.625" style="467" bestFit="1" customWidth="1"/>
    <col min="10" max="10" width="11.25" style="467" customWidth="1"/>
    <col min="11" max="12" width="11.25" style="464" hidden="1" customWidth="1"/>
    <col min="13" max="13" width="6.625" style="465" hidden="1" customWidth="1"/>
    <col min="14" max="16" width="11.25" style="464" hidden="1" customWidth="1"/>
    <col min="17" max="19" width="11.25" style="466" hidden="1" customWidth="1"/>
    <col min="20" max="22" width="11.25" style="199" hidden="1" customWidth="1"/>
    <col min="23" max="23" width="24.25" style="199" customWidth="1"/>
    <col min="24" max="16384" width="9" style="199"/>
  </cols>
  <sheetData>
    <row r="1" spans="2:23" ht="18" customHeight="1" thickBot="1">
      <c r="B1" s="349" t="s">
        <v>278</v>
      </c>
      <c r="C1" s="350"/>
      <c r="D1" s="804" t="s">
        <v>76</v>
      </c>
      <c r="E1" s="804"/>
      <c r="F1" s="421"/>
      <c r="G1" s="351"/>
      <c r="H1" s="352">
        <v>10</v>
      </c>
      <c r="I1" s="515"/>
      <c r="J1" s="516"/>
      <c r="K1" s="353"/>
      <c r="L1" s="353"/>
      <c r="M1" s="354"/>
      <c r="N1" s="353"/>
      <c r="O1" s="353"/>
      <c r="P1" s="353"/>
      <c r="Q1" s="355"/>
      <c r="R1" s="355"/>
      <c r="S1" s="355"/>
      <c r="T1" s="159"/>
      <c r="U1" s="159"/>
      <c r="V1" s="159"/>
      <c r="W1" s="356" t="str">
        <f>①技術体系!A2</f>
        <v>小麦</v>
      </c>
    </row>
    <row r="2" spans="2:23" s="357" customFormat="1" ht="18" customHeight="1" thickBot="1">
      <c r="B2" s="555" t="s">
        <v>77</v>
      </c>
      <c r="C2" s="556" t="s">
        <v>78</v>
      </c>
      <c r="D2" s="557" t="s">
        <v>79</v>
      </c>
      <c r="E2" s="558" t="s">
        <v>80</v>
      </c>
      <c r="F2" s="559" t="s">
        <v>19</v>
      </c>
      <c r="G2" s="560" t="s">
        <v>81</v>
      </c>
      <c r="H2" s="557" t="s">
        <v>24</v>
      </c>
      <c r="I2" s="561" t="s">
        <v>82</v>
      </c>
      <c r="J2" s="561" t="s">
        <v>83</v>
      </c>
      <c r="K2" s="562" t="s">
        <v>84</v>
      </c>
      <c r="L2" s="562" t="s">
        <v>85</v>
      </c>
      <c r="M2" s="563" t="s">
        <v>80</v>
      </c>
      <c r="N2" s="562" t="s">
        <v>86</v>
      </c>
      <c r="O2" s="564" t="s">
        <v>87</v>
      </c>
      <c r="P2" s="565" t="s">
        <v>80</v>
      </c>
      <c r="Q2" s="566" t="s">
        <v>88</v>
      </c>
      <c r="R2" s="567" t="s">
        <v>89</v>
      </c>
      <c r="S2" s="568" t="s">
        <v>90</v>
      </c>
      <c r="T2" s="569" t="s">
        <v>91</v>
      </c>
      <c r="U2" s="570" t="s">
        <v>92</v>
      </c>
      <c r="V2" s="570" t="s">
        <v>93</v>
      </c>
      <c r="W2" s="571" t="s">
        <v>94</v>
      </c>
    </row>
    <row r="3" spans="2:23" s="357" customFormat="1" ht="12.95" customHeight="1">
      <c r="B3" s="805" t="s">
        <v>98</v>
      </c>
      <c r="C3" s="260" t="s">
        <v>488</v>
      </c>
      <c r="D3" s="219">
        <v>6</v>
      </c>
      <c r="E3" s="261" t="s">
        <v>545</v>
      </c>
      <c r="F3" s="422">
        <v>272.5</v>
      </c>
      <c r="G3" s="221">
        <v>1</v>
      </c>
      <c r="H3" s="222">
        <v>1</v>
      </c>
      <c r="I3" s="359">
        <f>IF(C3=0,"",D3*1/G3*H3)</f>
        <v>6</v>
      </c>
      <c r="J3" s="519">
        <f>IF(C3=0,"",ROUND(F3*I3,0))</f>
        <v>1635</v>
      </c>
      <c r="K3" s="223"/>
      <c r="L3" s="223"/>
      <c r="M3" s="224"/>
      <c r="N3" s="223"/>
      <c r="O3" s="225">
        <v>0</v>
      </c>
      <c r="P3" s="226"/>
      <c r="Q3" s="227"/>
      <c r="R3" s="228"/>
      <c r="S3" s="229"/>
      <c r="T3" s="230" t="s">
        <v>293</v>
      </c>
      <c r="U3" s="231" t="s">
        <v>293</v>
      </c>
      <c r="V3" s="232" t="s">
        <v>293</v>
      </c>
      <c r="W3" s="262" t="s">
        <v>538</v>
      </c>
    </row>
    <row r="4" spans="2:23" s="357" customFormat="1" ht="12.95" customHeight="1">
      <c r="B4" s="806"/>
      <c r="C4" s="196"/>
      <c r="D4" s="177"/>
      <c r="E4" s="195"/>
      <c r="F4" s="423"/>
      <c r="G4" s="180"/>
      <c r="H4" s="181"/>
      <c r="I4" s="361" t="str">
        <f t="shared" ref="I4:I7" si="0">IF(C4=0,"",D4*1/G4*H4)</f>
        <v/>
      </c>
      <c r="J4" s="520" t="str">
        <f t="shared" ref="J4:J7" si="1">IF(C4=0,"",ROUND(F4*I4,0))</f>
        <v/>
      </c>
      <c r="K4" s="182"/>
      <c r="L4" s="182"/>
      <c r="M4" s="183"/>
      <c r="N4" s="182"/>
      <c r="O4" s="184"/>
      <c r="P4" s="185"/>
      <c r="Q4" s="186"/>
      <c r="R4" s="187"/>
      <c r="S4" s="188"/>
      <c r="T4" s="189"/>
      <c r="U4" s="190"/>
      <c r="V4" s="191"/>
      <c r="W4" s="263"/>
    </row>
    <row r="5" spans="2:23" s="357" customFormat="1" ht="12.95" customHeight="1">
      <c r="B5" s="806"/>
      <c r="C5" s="196"/>
      <c r="D5" s="177"/>
      <c r="E5" s="195"/>
      <c r="F5" s="423"/>
      <c r="G5" s="180"/>
      <c r="H5" s="181"/>
      <c r="I5" s="361" t="str">
        <f t="shared" si="0"/>
        <v/>
      </c>
      <c r="J5" s="520" t="str">
        <f t="shared" si="1"/>
        <v/>
      </c>
      <c r="K5" s="182"/>
      <c r="L5" s="182"/>
      <c r="M5" s="183"/>
      <c r="N5" s="182"/>
      <c r="O5" s="184"/>
      <c r="P5" s="185"/>
      <c r="Q5" s="186"/>
      <c r="R5" s="187"/>
      <c r="S5" s="188"/>
      <c r="T5" s="189"/>
      <c r="U5" s="190"/>
      <c r="V5" s="191"/>
      <c r="W5" s="263"/>
    </row>
    <row r="6" spans="2:23" s="357" customFormat="1" ht="12.95" customHeight="1">
      <c r="B6" s="806"/>
      <c r="C6" s="196"/>
      <c r="D6" s="177"/>
      <c r="E6" s="195"/>
      <c r="F6" s="423"/>
      <c r="G6" s="180"/>
      <c r="H6" s="181"/>
      <c r="I6" s="361" t="str">
        <f t="shared" si="0"/>
        <v/>
      </c>
      <c r="J6" s="520" t="str">
        <f t="shared" si="1"/>
        <v/>
      </c>
      <c r="K6" s="182"/>
      <c r="L6" s="182"/>
      <c r="M6" s="183"/>
      <c r="N6" s="182"/>
      <c r="O6" s="184"/>
      <c r="P6" s="185"/>
      <c r="Q6" s="186"/>
      <c r="R6" s="187"/>
      <c r="S6" s="188"/>
      <c r="T6" s="189"/>
      <c r="U6" s="190"/>
      <c r="V6" s="191"/>
      <c r="W6" s="263"/>
    </row>
    <row r="7" spans="2:23" s="357" customFormat="1" ht="12.95" customHeight="1" thickBot="1">
      <c r="B7" s="806"/>
      <c r="C7" s="264"/>
      <c r="D7" s="236"/>
      <c r="E7" s="257"/>
      <c r="F7" s="424"/>
      <c r="G7" s="238"/>
      <c r="H7" s="239"/>
      <c r="I7" s="362" t="str">
        <f t="shared" si="0"/>
        <v/>
      </c>
      <c r="J7" s="521" t="str">
        <f t="shared" si="1"/>
        <v/>
      </c>
      <c r="K7" s="240"/>
      <c r="L7" s="240"/>
      <c r="M7" s="241"/>
      <c r="N7" s="240"/>
      <c r="O7" s="242"/>
      <c r="P7" s="243"/>
      <c r="Q7" s="244"/>
      <c r="R7" s="245"/>
      <c r="S7" s="246"/>
      <c r="T7" s="247"/>
      <c r="U7" s="248"/>
      <c r="V7" s="249"/>
      <c r="W7" s="265"/>
    </row>
    <row r="8" spans="2:23" s="357" customFormat="1" ht="12.95" customHeight="1" thickTop="1" thickBot="1">
      <c r="B8" s="807"/>
      <c r="C8" s="513" t="s">
        <v>294</v>
      </c>
      <c r="D8" s="235"/>
      <c r="E8" s="335"/>
      <c r="F8" s="425"/>
      <c r="G8" s="336"/>
      <c r="H8" s="337"/>
      <c r="I8" s="346"/>
      <c r="J8" s="518">
        <f>SUM(J3:J7)</f>
        <v>1635</v>
      </c>
      <c r="K8" s="338"/>
      <c r="L8" s="338"/>
      <c r="M8" s="339"/>
      <c r="N8" s="338"/>
      <c r="O8" s="340"/>
      <c r="P8" s="341"/>
      <c r="Q8" s="342"/>
      <c r="R8" s="343"/>
      <c r="S8" s="344"/>
      <c r="T8" s="514"/>
      <c r="U8" s="346"/>
      <c r="V8" s="347"/>
      <c r="W8" s="348"/>
    </row>
    <row r="9" spans="2:23" ht="12.95" customHeight="1">
      <c r="B9" s="811" t="s">
        <v>95</v>
      </c>
      <c r="C9" s="251" t="s">
        <v>539</v>
      </c>
      <c r="D9" s="219">
        <v>100</v>
      </c>
      <c r="E9" s="220" t="s">
        <v>545</v>
      </c>
      <c r="F9" s="422">
        <v>18.350000000000001</v>
      </c>
      <c r="G9" s="221">
        <v>1</v>
      </c>
      <c r="H9" s="222">
        <v>1</v>
      </c>
      <c r="I9" s="359">
        <f t="shared" ref="I9:I19" si="2">IF(C9=0,"",D9*1/G9*H9)</f>
        <v>100</v>
      </c>
      <c r="J9" s="519">
        <f t="shared" ref="J9:J19" si="3">IF(C9=0,"",ROUND(F9*I9,0))</f>
        <v>1835</v>
      </c>
      <c r="K9" s="223"/>
      <c r="L9" s="223"/>
      <c r="M9" s="224"/>
      <c r="N9" s="223"/>
      <c r="O9" s="225">
        <v>0</v>
      </c>
      <c r="P9" s="226"/>
      <c r="Q9" s="227"/>
      <c r="R9" s="228"/>
      <c r="S9" s="229"/>
      <c r="T9" s="230" t="s">
        <v>293</v>
      </c>
      <c r="U9" s="231" t="s">
        <v>293</v>
      </c>
      <c r="V9" s="232" t="s">
        <v>293</v>
      </c>
      <c r="W9" s="233"/>
    </row>
    <row r="10" spans="2:23" ht="12.95" customHeight="1">
      <c r="B10" s="814"/>
      <c r="C10" s="252" t="s">
        <v>540</v>
      </c>
      <c r="D10" s="160">
        <v>30</v>
      </c>
      <c r="E10" s="161" t="s">
        <v>545</v>
      </c>
      <c r="F10" s="426">
        <v>73.3</v>
      </c>
      <c r="G10" s="162">
        <v>1</v>
      </c>
      <c r="H10" s="163">
        <v>1</v>
      </c>
      <c r="I10" s="522">
        <f t="shared" si="2"/>
        <v>30</v>
      </c>
      <c r="J10" s="523">
        <f t="shared" si="3"/>
        <v>2199</v>
      </c>
      <c r="K10" s="164"/>
      <c r="L10" s="164"/>
      <c r="M10" s="165"/>
      <c r="N10" s="164"/>
      <c r="O10" s="166">
        <v>0</v>
      </c>
      <c r="P10" s="167"/>
      <c r="Q10" s="168"/>
      <c r="R10" s="169"/>
      <c r="S10" s="170"/>
      <c r="T10" s="171" t="s">
        <v>293</v>
      </c>
      <c r="U10" s="172" t="s">
        <v>293</v>
      </c>
      <c r="V10" s="173" t="s">
        <v>293</v>
      </c>
      <c r="W10" s="234"/>
    </row>
    <row r="11" spans="2:23" ht="12.95" customHeight="1">
      <c r="B11" s="814"/>
      <c r="C11" s="253" t="s">
        <v>540</v>
      </c>
      <c r="D11" s="160">
        <v>15</v>
      </c>
      <c r="E11" s="161" t="s">
        <v>545</v>
      </c>
      <c r="F11" s="426">
        <v>73.3</v>
      </c>
      <c r="G11" s="162">
        <v>1</v>
      </c>
      <c r="H11" s="163">
        <v>1</v>
      </c>
      <c r="I11" s="522">
        <f t="shared" si="2"/>
        <v>15</v>
      </c>
      <c r="J11" s="523">
        <f t="shared" si="3"/>
        <v>1100</v>
      </c>
      <c r="K11" s="164"/>
      <c r="L11" s="164"/>
      <c r="M11" s="165"/>
      <c r="N11" s="164"/>
      <c r="O11" s="166">
        <v>0</v>
      </c>
      <c r="P11" s="167"/>
      <c r="Q11" s="168"/>
      <c r="R11" s="169"/>
      <c r="S11" s="170"/>
      <c r="T11" s="171" t="s">
        <v>293</v>
      </c>
      <c r="U11" s="172" t="s">
        <v>293</v>
      </c>
      <c r="V11" s="173" t="s">
        <v>293</v>
      </c>
      <c r="W11" s="234"/>
    </row>
    <row r="12" spans="2:23" ht="12.95" customHeight="1">
      <c r="B12" s="814"/>
      <c r="C12" s="254" t="s">
        <v>540</v>
      </c>
      <c r="D12" s="160">
        <v>15</v>
      </c>
      <c r="E12" s="161" t="s">
        <v>545</v>
      </c>
      <c r="F12" s="426">
        <v>73.3</v>
      </c>
      <c r="G12" s="162">
        <v>1</v>
      </c>
      <c r="H12" s="163">
        <v>1</v>
      </c>
      <c r="I12" s="522">
        <f t="shared" si="2"/>
        <v>15</v>
      </c>
      <c r="J12" s="523">
        <f t="shared" si="3"/>
        <v>1100</v>
      </c>
      <c r="K12" s="164"/>
      <c r="L12" s="164"/>
      <c r="M12" s="165"/>
      <c r="N12" s="164"/>
      <c r="O12" s="166"/>
      <c r="P12" s="167"/>
      <c r="Q12" s="168"/>
      <c r="R12" s="169"/>
      <c r="S12" s="170"/>
      <c r="T12" s="171"/>
      <c r="U12" s="172"/>
      <c r="V12" s="173"/>
      <c r="W12" s="234"/>
    </row>
    <row r="13" spans="2:23" ht="12.95" customHeight="1">
      <c r="B13" s="814"/>
      <c r="C13" s="254" t="s">
        <v>541</v>
      </c>
      <c r="D13" s="160">
        <v>13</v>
      </c>
      <c r="E13" s="161" t="s">
        <v>545</v>
      </c>
      <c r="F13" s="426">
        <v>63.25</v>
      </c>
      <c r="G13" s="162">
        <v>1</v>
      </c>
      <c r="H13" s="163">
        <v>1</v>
      </c>
      <c r="I13" s="522">
        <f t="shared" si="2"/>
        <v>13</v>
      </c>
      <c r="J13" s="523">
        <f t="shared" si="3"/>
        <v>822</v>
      </c>
      <c r="K13" s="164"/>
      <c r="L13" s="164"/>
      <c r="M13" s="165"/>
      <c r="N13" s="164"/>
      <c r="O13" s="166"/>
      <c r="P13" s="167"/>
      <c r="Q13" s="168"/>
      <c r="R13" s="169"/>
      <c r="S13" s="170"/>
      <c r="T13" s="171"/>
      <c r="U13" s="172"/>
      <c r="V13" s="173"/>
      <c r="W13" s="234"/>
    </row>
    <row r="14" spans="2:23" ht="12.95" customHeight="1">
      <c r="B14" s="814"/>
      <c r="C14" s="254"/>
      <c r="D14" s="160"/>
      <c r="E14" s="161"/>
      <c r="F14" s="426"/>
      <c r="G14" s="162"/>
      <c r="H14" s="163"/>
      <c r="I14" s="522" t="str">
        <f t="shared" si="2"/>
        <v/>
      </c>
      <c r="J14" s="523" t="str">
        <f t="shared" si="3"/>
        <v/>
      </c>
      <c r="K14" s="164"/>
      <c r="L14" s="164"/>
      <c r="M14" s="165"/>
      <c r="N14" s="164"/>
      <c r="O14" s="166"/>
      <c r="P14" s="167"/>
      <c r="Q14" s="168"/>
      <c r="R14" s="169"/>
      <c r="S14" s="170"/>
      <c r="T14" s="171"/>
      <c r="U14" s="172"/>
      <c r="V14" s="173"/>
      <c r="W14" s="234"/>
    </row>
    <row r="15" spans="2:23" ht="12.95" customHeight="1">
      <c r="B15" s="814"/>
      <c r="C15" s="254"/>
      <c r="D15" s="160"/>
      <c r="E15" s="161"/>
      <c r="F15" s="426"/>
      <c r="G15" s="162"/>
      <c r="H15" s="163"/>
      <c r="I15" s="522" t="str">
        <f t="shared" si="2"/>
        <v/>
      </c>
      <c r="J15" s="523" t="str">
        <f t="shared" si="3"/>
        <v/>
      </c>
      <c r="K15" s="164"/>
      <c r="L15" s="164"/>
      <c r="M15" s="165"/>
      <c r="N15" s="164"/>
      <c r="O15" s="166"/>
      <c r="P15" s="167"/>
      <c r="Q15" s="168"/>
      <c r="R15" s="169"/>
      <c r="S15" s="170"/>
      <c r="T15" s="171"/>
      <c r="U15" s="172"/>
      <c r="V15" s="173"/>
      <c r="W15" s="234"/>
    </row>
    <row r="16" spans="2:23" ht="12.95" customHeight="1">
      <c r="B16" s="814"/>
      <c r="C16" s="254"/>
      <c r="D16" s="160"/>
      <c r="E16" s="161"/>
      <c r="F16" s="426"/>
      <c r="G16" s="162"/>
      <c r="H16" s="163"/>
      <c r="I16" s="522" t="str">
        <f t="shared" si="2"/>
        <v/>
      </c>
      <c r="J16" s="523" t="str">
        <f t="shared" si="3"/>
        <v/>
      </c>
      <c r="K16" s="164"/>
      <c r="L16" s="164"/>
      <c r="M16" s="165"/>
      <c r="N16" s="164"/>
      <c r="O16" s="166"/>
      <c r="P16" s="167"/>
      <c r="Q16" s="168"/>
      <c r="R16" s="169"/>
      <c r="S16" s="170"/>
      <c r="T16" s="171"/>
      <c r="U16" s="172"/>
      <c r="V16" s="173"/>
      <c r="W16" s="234"/>
    </row>
    <row r="17" spans="2:23" ht="12.95" customHeight="1">
      <c r="B17" s="814"/>
      <c r="C17" s="254"/>
      <c r="D17" s="160"/>
      <c r="E17" s="161"/>
      <c r="F17" s="426"/>
      <c r="G17" s="162"/>
      <c r="H17" s="163"/>
      <c r="I17" s="522" t="str">
        <f t="shared" si="2"/>
        <v/>
      </c>
      <c r="J17" s="523" t="str">
        <f t="shared" si="3"/>
        <v/>
      </c>
      <c r="K17" s="164"/>
      <c r="L17" s="164"/>
      <c r="M17" s="165"/>
      <c r="N17" s="164"/>
      <c r="O17" s="166"/>
      <c r="P17" s="167"/>
      <c r="Q17" s="168"/>
      <c r="R17" s="169"/>
      <c r="S17" s="170"/>
      <c r="T17" s="171"/>
      <c r="U17" s="172"/>
      <c r="V17" s="173"/>
      <c r="W17" s="234"/>
    </row>
    <row r="18" spans="2:23" ht="12.95" customHeight="1">
      <c r="B18" s="814"/>
      <c r="C18" s="254"/>
      <c r="D18" s="160"/>
      <c r="E18" s="161"/>
      <c r="F18" s="426"/>
      <c r="G18" s="162"/>
      <c r="H18" s="163"/>
      <c r="I18" s="522" t="str">
        <f t="shared" si="2"/>
        <v/>
      </c>
      <c r="J18" s="523" t="str">
        <f t="shared" si="3"/>
        <v/>
      </c>
      <c r="K18" s="164"/>
      <c r="L18" s="164"/>
      <c r="M18" s="165"/>
      <c r="N18" s="164"/>
      <c r="O18" s="166"/>
      <c r="P18" s="167"/>
      <c r="Q18" s="168"/>
      <c r="R18" s="169"/>
      <c r="S18" s="170"/>
      <c r="T18" s="171"/>
      <c r="U18" s="172"/>
      <c r="V18" s="173"/>
      <c r="W18" s="234"/>
    </row>
    <row r="19" spans="2:23" ht="12.95" customHeight="1" thickBot="1">
      <c r="B19" s="814"/>
      <c r="C19" s="255"/>
      <c r="D19" s="236"/>
      <c r="E19" s="237"/>
      <c r="F19" s="424"/>
      <c r="G19" s="238"/>
      <c r="H19" s="239"/>
      <c r="I19" s="362" t="str">
        <f t="shared" si="2"/>
        <v/>
      </c>
      <c r="J19" s="521" t="str">
        <f t="shared" si="3"/>
        <v/>
      </c>
      <c r="K19" s="240"/>
      <c r="L19" s="240"/>
      <c r="M19" s="241"/>
      <c r="N19" s="240"/>
      <c r="O19" s="242"/>
      <c r="P19" s="243"/>
      <c r="Q19" s="244"/>
      <c r="R19" s="245"/>
      <c r="S19" s="246"/>
      <c r="T19" s="247"/>
      <c r="U19" s="248"/>
      <c r="V19" s="249"/>
      <c r="W19" s="250"/>
    </row>
    <row r="20" spans="2:23" ht="12.95" customHeight="1" thickTop="1" thickBot="1">
      <c r="B20" s="815"/>
      <c r="C20" s="513" t="s">
        <v>294</v>
      </c>
      <c r="D20" s="235"/>
      <c r="E20" s="335"/>
      <c r="F20" s="425"/>
      <c r="G20" s="336"/>
      <c r="H20" s="337"/>
      <c r="I20" s="346"/>
      <c r="J20" s="518">
        <f>SUM(J9:J19)</f>
        <v>7056</v>
      </c>
      <c r="K20" s="338"/>
      <c r="L20" s="338"/>
      <c r="M20" s="339"/>
      <c r="N20" s="338"/>
      <c r="O20" s="340"/>
      <c r="P20" s="341"/>
      <c r="Q20" s="342"/>
      <c r="R20" s="343"/>
      <c r="S20" s="344"/>
      <c r="T20" s="514"/>
      <c r="U20" s="346"/>
      <c r="V20" s="347"/>
      <c r="W20" s="348"/>
    </row>
    <row r="21" spans="2:23" ht="12.95" customHeight="1">
      <c r="B21" s="805" t="s">
        <v>101</v>
      </c>
      <c r="C21" s="218" t="s">
        <v>542</v>
      </c>
      <c r="D21" s="219">
        <v>200</v>
      </c>
      <c r="E21" s="220" t="s">
        <v>103</v>
      </c>
      <c r="F21" s="422">
        <v>6.4</v>
      </c>
      <c r="G21" s="221">
        <v>1</v>
      </c>
      <c r="H21" s="222">
        <v>1</v>
      </c>
      <c r="I21" s="359">
        <f t="shared" ref="I21:I60" si="4">IF(C21=0,"",D21*1/G21*H21)</f>
        <v>200</v>
      </c>
      <c r="J21" s="519">
        <f t="shared" ref="J21:J60" si="5">IF(C21=0,"",ROUND(F21*I21,0))</f>
        <v>1280</v>
      </c>
      <c r="K21" s="223"/>
      <c r="L21" s="223"/>
      <c r="M21" s="224"/>
      <c r="N21" s="223"/>
      <c r="O21" s="225">
        <v>0</v>
      </c>
      <c r="P21" s="226"/>
      <c r="Q21" s="227"/>
      <c r="R21" s="228"/>
      <c r="S21" s="229"/>
      <c r="T21" s="230" t="s">
        <v>293</v>
      </c>
      <c r="U21" s="231" t="s">
        <v>293</v>
      </c>
      <c r="V21" s="232" t="s">
        <v>293</v>
      </c>
      <c r="W21" s="233"/>
    </row>
    <row r="22" spans="2:23" ht="12.95" customHeight="1">
      <c r="B22" s="806"/>
      <c r="C22" s="175" t="s">
        <v>543</v>
      </c>
      <c r="D22" s="160">
        <v>100</v>
      </c>
      <c r="E22" s="161" t="s">
        <v>103</v>
      </c>
      <c r="F22" s="426">
        <v>13.38</v>
      </c>
      <c r="G22" s="162">
        <v>1</v>
      </c>
      <c r="H22" s="163">
        <v>1</v>
      </c>
      <c r="I22" s="522">
        <f t="shared" si="4"/>
        <v>100</v>
      </c>
      <c r="J22" s="523">
        <f t="shared" si="5"/>
        <v>1338</v>
      </c>
      <c r="K22" s="164"/>
      <c r="L22" s="164"/>
      <c r="M22" s="165"/>
      <c r="N22" s="164"/>
      <c r="O22" s="166">
        <v>0</v>
      </c>
      <c r="P22" s="167"/>
      <c r="Q22" s="168"/>
      <c r="R22" s="169"/>
      <c r="S22" s="170"/>
      <c r="T22" s="171" t="s">
        <v>293</v>
      </c>
      <c r="U22" s="172" t="s">
        <v>293</v>
      </c>
      <c r="V22" s="173" t="s">
        <v>293</v>
      </c>
      <c r="W22" s="234"/>
    </row>
    <row r="23" spans="2:23" ht="12.95" customHeight="1">
      <c r="B23" s="806"/>
      <c r="C23" s="175" t="s">
        <v>544</v>
      </c>
      <c r="D23" s="160">
        <v>200</v>
      </c>
      <c r="E23" s="161" t="s">
        <v>105</v>
      </c>
      <c r="F23" s="426">
        <v>4.298</v>
      </c>
      <c r="G23" s="162">
        <v>1</v>
      </c>
      <c r="H23" s="163">
        <v>1</v>
      </c>
      <c r="I23" s="522">
        <f t="shared" si="4"/>
        <v>200</v>
      </c>
      <c r="J23" s="523">
        <f t="shared" si="5"/>
        <v>860</v>
      </c>
      <c r="K23" s="164"/>
      <c r="L23" s="164"/>
      <c r="M23" s="165"/>
      <c r="N23" s="164"/>
      <c r="O23" s="166">
        <v>0</v>
      </c>
      <c r="P23" s="167"/>
      <c r="Q23" s="168"/>
      <c r="R23" s="169"/>
      <c r="S23" s="170"/>
      <c r="T23" s="171" t="s">
        <v>293</v>
      </c>
      <c r="U23" s="172" t="s">
        <v>293</v>
      </c>
      <c r="V23" s="173" t="s">
        <v>293</v>
      </c>
      <c r="W23" s="234"/>
    </row>
    <row r="24" spans="2:23" ht="12.95" customHeight="1">
      <c r="B24" s="806"/>
      <c r="C24" s="175"/>
      <c r="D24" s="160"/>
      <c r="E24" s="161"/>
      <c r="F24" s="426"/>
      <c r="G24" s="162"/>
      <c r="H24" s="163"/>
      <c r="I24" s="522" t="str">
        <f t="shared" si="4"/>
        <v/>
      </c>
      <c r="J24" s="523" t="str">
        <f t="shared" si="5"/>
        <v/>
      </c>
      <c r="K24" s="164"/>
      <c r="L24" s="164"/>
      <c r="M24" s="165"/>
      <c r="N24" s="164"/>
      <c r="O24" s="166">
        <v>0</v>
      </c>
      <c r="P24" s="167"/>
      <c r="Q24" s="168"/>
      <c r="R24" s="169"/>
      <c r="S24" s="170"/>
      <c r="T24" s="171" t="s">
        <v>293</v>
      </c>
      <c r="U24" s="172" t="s">
        <v>293</v>
      </c>
      <c r="V24" s="173" t="s">
        <v>293</v>
      </c>
      <c r="W24" s="234"/>
    </row>
    <row r="25" spans="2:23" ht="12.95" customHeight="1">
      <c r="B25" s="806"/>
      <c r="C25" s="175"/>
      <c r="D25" s="160"/>
      <c r="E25" s="161"/>
      <c r="F25" s="426"/>
      <c r="G25" s="162"/>
      <c r="H25" s="163"/>
      <c r="I25" s="522" t="str">
        <f t="shared" si="4"/>
        <v/>
      </c>
      <c r="J25" s="523" t="str">
        <f t="shared" si="5"/>
        <v/>
      </c>
      <c r="K25" s="164"/>
      <c r="L25" s="164"/>
      <c r="M25" s="165"/>
      <c r="N25" s="164"/>
      <c r="O25" s="166">
        <v>0</v>
      </c>
      <c r="P25" s="167"/>
      <c r="Q25" s="168"/>
      <c r="R25" s="169"/>
      <c r="S25" s="170"/>
      <c r="T25" s="171" t="s">
        <v>293</v>
      </c>
      <c r="U25" s="172" t="s">
        <v>293</v>
      </c>
      <c r="V25" s="173" t="s">
        <v>293</v>
      </c>
      <c r="W25" s="234"/>
    </row>
    <row r="26" spans="2:23" ht="12.95" customHeight="1">
      <c r="B26" s="806"/>
      <c r="C26" s="175"/>
      <c r="D26" s="160"/>
      <c r="E26" s="161"/>
      <c r="F26" s="426"/>
      <c r="G26" s="162"/>
      <c r="H26" s="163"/>
      <c r="I26" s="522" t="str">
        <f t="shared" si="4"/>
        <v/>
      </c>
      <c r="J26" s="523" t="str">
        <f t="shared" si="5"/>
        <v/>
      </c>
      <c r="K26" s="164"/>
      <c r="L26" s="164"/>
      <c r="M26" s="165"/>
      <c r="N26" s="164"/>
      <c r="O26" s="166">
        <v>0</v>
      </c>
      <c r="P26" s="167"/>
      <c r="Q26" s="168"/>
      <c r="R26" s="169"/>
      <c r="S26" s="170"/>
      <c r="T26" s="171" t="s">
        <v>293</v>
      </c>
      <c r="U26" s="172" t="s">
        <v>293</v>
      </c>
      <c r="V26" s="173" t="s">
        <v>293</v>
      </c>
      <c r="W26" s="234"/>
    </row>
    <row r="27" spans="2:23" ht="12.95" hidden="1" customHeight="1" outlineLevel="1">
      <c r="B27" s="806"/>
      <c r="C27" s="175"/>
      <c r="D27" s="160"/>
      <c r="E27" s="161"/>
      <c r="F27" s="426"/>
      <c r="G27" s="162"/>
      <c r="H27" s="163"/>
      <c r="I27" s="522" t="str">
        <f t="shared" si="4"/>
        <v/>
      </c>
      <c r="J27" s="523" t="str">
        <f t="shared" si="5"/>
        <v/>
      </c>
      <c r="K27" s="164"/>
      <c r="L27" s="164"/>
      <c r="M27" s="165"/>
      <c r="N27" s="164"/>
      <c r="O27" s="166">
        <v>0</v>
      </c>
      <c r="P27" s="167"/>
      <c r="Q27" s="168"/>
      <c r="R27" s="169"/>
      <c r="S27" s="170"/>
      <c r="T27" s="171" t="s">
        <v>293</v>
      </c>
      <c r="U27" s="172" t="s">
        <v>293</v>
      </c>
      <c r="V27" s="173" t="s">
        <v>293</v>
      </c>
      <c r="W27" s="258"/>
    </row>
    <row r="28" spans="2:23" ht="12.95" hidden="1" customHeight="1" outlineLevel="1">
      <c r="B28" s="806"/>
      <c r="C28" s="175"/>
      <c r="D28" s="160"/>
      <c r="E28" s="161"/>
      <c r="F28" s="426"/>
      <c r="G28" s="162"/>
      <c r="H28" s="163"/>
      <c r="I28" s="522" t="str">
        <f t="shared" si="4"/>
        <v/>
      </c>
      <c r="J28" s="523" t="str">
        <f t="shared" si="5"/>
        <v/>
      </c>
      <c r="K28" s="164"/>
      <c r="L28" s="164"/>
      <c r="M28" s="165"/>
      <c r="N28" s="164"/>
      <c r="O28" s="166">
        <v>0</v>
      </c>
      <c r="P28" s="167"/>
      <c r="Q28" s="168"/>
      <c r="R28" s="169"/>
      <c r="S28" s="170"/>
      <c r="T28" s="171" t="s">
        <v>293</v>
      </c>
      <c r="U28" s="172" t="s">
        <v>293</v>
      </c>
      <c r="V28" s="173" t="s">
        <v>293</v>
      </c>
      <c r="W28" s="258"/>
    </row>
    <row r="29" spans="2:23" ht="12.95" hidden="1" customHeight="1" outlineLevel="1">
      <c r="B29" s="806"/>
      <c r="C29" s="175"/>
      <c r="D29" s="160"/>
      <c r="E29" s="161"/>
      <c r="F29" s="426"/>
      <c r="G29" s="162"/>
      <c r="H29" s="163"/>
      <c r="I29" s="522" t="str">
        <f t="shared" si="4"/>
        <v/>
      </c>
      <c r="J29" s="523" t="str">
        <f t="shared" si="5"/>
        <v/>
      </c>
      <c r="K29" s="164"/>
      <c r="L29" s="164"/>
      <c r="M29" s="165"/>
      <c r="N29" s="164"/>
      <c r="O29" s="166">
        <v>0</v>
      </c>
      <c r="P29" s="167"/>
      <c r="Q29" s="168"/>
      <c r="R29" s="169"/>
      <c r="S29" s="170"/>
      <c r="T29" s="171" t="s">
        <v>293</v>
      </c>
      <c r="U29" s="172" t="s">
        <v>293</v>
      </c>
      <c r="V29" s="173" t="s">
        <v>293</v>
      </c>
      <c r="W29" s="258"/>
    </row>
    <row r="30" spans="2:23" ht="12.95" hidden="1" customHeight="1" outlineLevel="1">
      <c r="B30" s="806"/>
      <c r="C30" s="175"/>
      <c r="D30" s="160"/>
      <c r="E30" s="161"/>
      <c r="F30" s="426"/>
      <c r="G30" s="162"/>
      <c r="H30" s="163"/>
      <c r="I30" s="522" t="str">
        <f t="shared" si="4"/>
        <v/>
      </c>
      <c r="J30" s="523" t="str">
        <f t="shared" si="5"/>
        <v/>
      </c>
      <c r="K30" s="164"/>
      <c r="L30" s="164"/>
      <c r="M30" s="165"/>
      <c r="N30" s="164"/>
      <c r="O30" s="166">
        <v>0</v>
      </c>
      <c r="P30" s="167"/>
      <c r="Q30" s="168"/>
      <c r="R30" s="169"/>
      <c r="S30" s="170"/>
      <c r="T30" s="171" t="s">
        <v>293</v>
      </c>
      <c r="U30" s="172" t="s">
        <v>293</v>
      </c>
      <c r="V30" s="173" t="s">
        <v>293</v>
      </c>
      <c r="W30" s="258"/>
    </row>
    <row r="31" spans="2:23" ht="12.95" hidden="1" customHeight="1" outlineLevel="1">
      <c r="B31" s="806"/>
      <c r="C31" s="175"/>
      <c r="D31" s="160"/>
      <c r="E31" s="161"/>
      <c r="F31" s="426"/>
      <c r="G31" s="162"/>
      <c r="H31" s="163"/>
      <c r="I31" s="522" t="str">
        <f t="shared" si="4"/>
        <v/>
      </c>
      <c r="J31" s="523" t="str">
        <f t="shared" si="5"/>
        <v/>
      </c>
      <c r="K31" s="164"/>
      <c r="L31" s="164"/>
      <c r="M31" s="165"/>
      <c r="N31" s="164"/>
      <c r="O31" s="166">
        <v>0</v>
      </c>
      <c r="P31" s="167"/>
      <c r="Q31" s="168"/>
      <c r="R31" s="169"/>
      <c r="S31" s="170"/>
      <c r="T31" s="171" t="s">
        <v>293</v>
      </c>
      <c r="U31" s="172" t="s">
        <v>293</v>
      </c>
      <c r="V31" s="173" t="s">
        <v>293</v>
      </c>
      <c r="W31" s="258"/>
    </row>
    <row r="32" spans="2:23" ht="12.95" hidden="1" customHeight="1" outlineLevel="1">
      <c r="B32" s="806"/>
      <c r="C32" s="175"/>
      <c r="D32" s="160"/>
      <c r="E32" s="161"/>
      <c r="F32" s="426"/>
      <c r="G32" s="162"/>
      <c r="H32" s="163"/>
      <c r="I32" s="522" t="str">
        <f t="shared" si="4"/>
        <v/>
      </c>
      <c r="J32" s="523" t="str">
        <f t="shared" si="5"/>
        <v/>
      </c>
      <c r="K32" s="164"/>
      <c r="L32" s="164"/>
      <c r="M32" s="165"/>
      <c r="N32" s="164"/>
      <c r="O32" s="166">
        <v>0</v>
      </c>
      <c r="P32" s="167"/>
      <c r="Q32" s="168"/>
      <c r="R32" s="169"/>
      <c r="S32" s="170"/>
      <c r="T32" s="171" t="s">
        <v>293</v>
      </c>
      <c r="U32" s="172" t="s">
        <v>293</v>
      </c>
      <c r="V32" s="173" t="s">
        <v>293</v>
      </c>
      <c r="W32" s="258"/>
    </row>
    <row r="33" spans="2:23" ht="12.95" hidden="1" customHeight="1" outlineLevel="1">
      <c r="B33" s="806"/>
      <c r="C33" s="175"/>
      <c r="D33" s="160"/>
      <c r="E33" s="161"/>
      <c r="F33" s="426"/>
      <c r="G33" s="162"/>
      <c r="H33" s="163"/>
      <c r="I33" s="522" t="str">
        <f t="shared" si="4"/>
        <v/>
      </c>
      <c r="J33" s="523" t="str">
        <f t="shared" si="5"/>
        <v/>
      </c>
      <c r="K33" s="164"/>
      <c r="L33" s="164"/>
      <c r="M33" s="165"/>
      <c r="N33" s="164"/>
      <c r="O33" s="166">
        <v>0</v>
      </c>
      <c r="P33" s="167"/>
      <c r="Q33" s="168"/>
      <c r="R33" s="169"/>
      <c r="S33" s="170"/>
      <c r="T33" s="171" t="s">
        <v>293</v>
      </c>
      <c r="U33" s="172" t="s">
        <v>293</v>
      </c>
      <c r="V33" s="173" t="s">
        <v>293</v>
      </c>
      <c r="W33" s="234"/>
    </row>
    <row r="34" spans="2:23" ht="12.95" hidden="1" customHeight="1" outlineLevel="1">
      <c r="B34" s="806"/>
      <c r="C34" s="175"/>
      <c r="D34" s="160"/>
      <c r="E34" s="161"/>
      <c r="F34" s="426"/>
      <c r="G34" s="162"/>
      <c r="H34" s="163"/>
      <c r="I34" s="522" t="str">
        <f t="shared" si="4"/>
        <v/>
      </c>
      <c r="J34" s="523" t="str">
        <f t="shared" si="5"/>
        <v/>
      </c>
      <c r="K34" s="164"/>
      <c r="L34" s="164"/>
      <c r="M34" s="165"/>
      <c r="N34" s="164"/>
      <c r="O34" s="166">
        <v>0</v>
      </c>
      <c r="P34" s="167"/>
      <c r="Q34" s="168"/>
      <c r="R34" s="169"/>
      <c r="S34" s="170"/>
      <c r="T34" s="171" t="s">
        <v>293</v>
      </c>
      <c r="U34" s="172" t="s">
        <v>293</v>
      </c>
      <c r="V34" s="173" t="s">
        <v>293</v>
      </c>
      <c r="W34" s="234"/>
    </row>
    <row r="35" spans="2:23" ht="12.95" hidden="1" customHeight="1" outlineLevel="1">
      <c r="B35" s="806"/>
      <c r="C35" s="175"/>
      <c r="D35" s="160"/>
      <c r="E35" s="161"/>
      <c r="F35" s="426"/>
      <c r="G35" s="162"/>
      <c r="H35" s="163"/>
      <c r="I35" s="522" t="str">
        <f t="shared" si="4"/>
        <v/>
      </c>
      <c r="J35" s="523" t="str">
        <f t="shared" si="5"/>
        <v/>
      </c>
      <c r="K35" s="164"/>
      <c r="L35" s="164"/>
      <c r="M35" s="165"/>
      <c r="N35" s="164"/>
      <c r="O35" s="166">
        <v>0</v>
      </c>
      <c r="P35" s="167"/>
      <c r="Q35" s="168"/>
      <c r="R35" s="169"/>
      <c r="S35" s="170"/>
      <c r="T35" s="171" t="s">
        <v>293</v>
      </c>
      <c r="U35" s="172" t="s">
        <v>293</v>
      </c>
      <c r="V35" s="173" t="s">
        <v>293</v>
      </c>
      <c r="W35" s="234"/>
    </row>
    <row r="36" spans="2:23" ht="12.95" hidden="1" customHeight="1" outlineLevel="1">
      <c r="B36" s="806"/>
      <c r="C36" s="175"/>
      <c r="D36" s="160"/>
      <c r="E36" s="161"/>
      <c r="F36" s="426"/>
      <c r="G36" s="162"/>
      <c r="H36" s="163"/>
      <c r="I36" s="522" t="str">
        <f t="shared" si="4"/>
        <v/>
      </c>
      <c r="J36" s="523" t="str">
        <f t="shared" si="5"/>
        <v/>
      </c>
      <c r="K36" s="164"/>
      <c r="L36" s="164"/>
      <c r="M36" s="165"/>
      <c r="N36" s="164"/>
      <c r="O36" s="166"/>
      <c r="P36" s="167"/>
      <c r="Q36" s="168"/>
      <c r="R36" s="169"/>
      <c r="S36" s="170"/>
      <c r="T36" s="171"/>
      <c r="U36" s="172"/>
      <c r="V36" s="173"/>
      <c r="W36" s="234"/>
    </row>
    <row r="37" spans="2:23" ht="12.95" hidden="1" customHeight="1" outlineLevel="1">
      <c r="B37" s="806"/>
      <c r="C37" s="175"/>
      <c r="D37" s="160"/>
      <c r="E37" s="161"/>
      <c r="F37" s="426"/>
      <c r="G37" s="162"/>
      <c r="H37" s="163"/>
      <c r="I37" s="522" t="str">
        <f t="shared" si="4"/>
        <v/>
      </c>
      <c r="J37" s="523" t="str">
        <f t="shared" si="5"/>
        <v/>
      </c>
      <c r="K37" s="164"/>
      <c r="L37" s="164"/>
      <c r="M37" s="165"/>
      <c r="N37" s="164"/>
      <c r="O37" s="166"/>
      <c r="P37" s="167"/>
      <c r="Q37" s="168"/>
      <c r="R37" s="169"/>
      <c r="S37" s="170"/>
      <c r="T37" s="171"/>
      <c r="U37" s="172"/>
      <c r="V37" s="173"/>
      <c r="W37" s="234"/>
    </row>
    <row r="38" spans="2:23" ht="12.95" hidden="1" customHeight="1" outlineLevel="1">
      <c r="B38" s="806"/>
      <c r="C38" s="175"/>
      <c r="D38" s="160"/>
      <c r="E38" s="161"/>
      <c r="F38" s="426"/>
      <c r="G38" s="162"/>
      <c r="H38" s="163"/>
      <c r="I38" s="522" t="str">
        <f t="shared" si="4"/>
        <v/>
      </c>
      <c r="J38" s="523" t="str">
        <f t="shared" si="5"/>
        <v/>
      </c>
      <c r="K38" s="164"/>
      <c r="L38" s="164"/>
      <c r="M38" s="165"/>
      <c r="N38" s="164"/>
      <c r="O38" s="166"/>
      <c r="P38" s="167"/>
      <c r="Q38" s="168"/>
      <c r="R38" s="169"/>
      <c r="S38" s="170"/>
      <c r="T38" s="171"/>
      <c r="U38" s="172"/>
      <c r="V38" s="173"/>
      <c r="W38" s="234"/>
    </row>
    <row r="39" spans="2:23" ht="12.95" hidden="1" customHeight="1" outlineLevel="1">
      <c r="B39" s="806"/>
      <c r="C39" s="176"/>
      <c r="D39" s="177"/>
      <c r="E39" s="178"/>
      <c r="F39" s="423"/>
      <c r="G39" s="180"/>
      <c r="H39" s="181"/>
      <c r="I39" s="361" t="str">
        <f t="shared" si="4"/>
        <v/>
      </c>
      <c r="J39" s="520" t="str">
        <f t="shared" si="5"/>
        <v/>
      </c>
      <c r="K39" s="182"/>
      <c r="L39" s="182"/>
      <c r="M39" s="183"/>
      <c r="N39" s="182"/>
      <c r="O39" s="184"/>
      <c r="P39" s="185"/>
      <c r="Q39" s="186"/>
      <c r="R39" s="187"/>
      <c r="S39" s="188"/>
      <c r="T39" s="189"/>
      <c r="U39" s="190"/>
      <c r="V39" s="191"/>
      <c r="W39" s="234"/>
    </row>
    <row r="40" spans="2:23" ht="12.95" hidden="1" customHeight="1" outlineLevel="1">
      <c r="B40" s="806"/>
      <c r="C40" s="174"/>
      <c r="D40" s="177"/>
      <c r="E40" s="178"/>
      <c r="F40" s="423"/>
      <c r="G40" s="180"/>
      <c r="H40" s="181"/>
      <c r="I40" s="361" t="str">
        <f t="shared" si="4"/>
        <v/>
      </c>
      <c r="J40" s="520" t="str">
        <f t="shared" si="5"/>
        <v/>
      </c>
      <c r="K40" s="182"/>
      <c r="L40" s="182"/>
      <c r="M40" s="183"/>
      <c r="N40" s="182"/>
      <c r="O40" s="184"/>
      <c r="P40" s="185"/>
      <c r="Q40" s="186"/>
      <c r="R40" s="187"/>
      <c r="S40" s="188"/>
      <c r="T40" s="189"/>
      <c r="U40" s="190"/>
      <c r="V40" s="191"/>
      <c r="W40" s="234"/>
    </row>
    <row r="41" spans="2:23" ht="12.95" hidden="1" customHeight="1" outlineLevel="1">
      <c r="B41" s="806"/>
      <c r="C41" s="174"/>
      <c r="D41" s="177"/>
      <c r="E41" s="178"/>
      <c r="F41" s="423"/>
      <c r="G41" s="180"/>
      <c r="H41" s="181"/>
      <c r="I41" s="361" t="str">
        <f t="shared" si="4"/>
        <v/>
      </c>
      <c r="J41" s="520" t="str">
        <f t="shared" si="5"/>
        <v/>
      </c>
      <c r="K41" s="182"/>
      <c r="L41" s="182"/>
      <c r="M41" s="183"/>
      <c r="N41" s="182"/>
      <c r="O41" s="184"/>
      <c r="P41" s="185"/>
      <c r="Q41" s="186"/>
      <c r="R41" s="187"/>
      <c r="S41" s="188"/>
      <c r="T41" s="189"/>
      <c r="U41" s="190"/>
      <c r="V41" s="191"/>
      <c r="W41" s="258"/>
    </row>
    <row r="42" spans="2:23" ht="12.95" hidden="1" customHeight="1" outlineLevel="1">
      <c r="B42" s="806"/>
      <c r="C42" s="174"/>
      <c r="D42" s="177"/>
      <c r="E42" s="178"/>
      <c r="F42" s="423"/>
      <c r="G42" s="180"/>
      <c r="H42" s="181"/>
      <c r="I42" s="361" t="str">
        <f t="shared" si="4"/>
        <v/>
      </c>
      <c r="J42" s="520" t="str">
        <f t="shared" si="5"/>
        <v/>
      </c>
      <c r="K42" s="182"/>
      <c r="L42" s="182"/>
      <c r="M42" s="183"/>
      <c r="N42" s="182"/>
      <c r="O42" s="184"/>
      <c r="P42" s="185"/>
      <c r="Q42" s="186"/>
      <c r="R42" s="187"/>
      <c r="S42" s="188"/>
      <c r="T42" s="189"/>
      <c r="U42" s="190"/>
      <c r="V42" s="191"/>
      <c r="W42" s="258"/>
    </row>
    <row r="43" spans="2:23" ht="12.95" hidden="1" customHeight="1" outlineLevel="1">
      <c r="B43" s="806"/>
      <c r="C43" s="192"/>
      <c r="D43" s="177"/>
      <c r="E43" s="193"/>
      <c r="F43" s="423"/>
      <c r="G43" s="180"/>
      <c r="H43" s="181"/>
      <c r="I43" s="361" t="str">
        <f t="shared" si="4"/>
        <v/>
      </c>
      <c r="J43" s="520" t="str">
        <f t="shared" si="5"/>
        <v/>
      </c>
      <c r="K43" s="182"/>
      <c r="L43" s="182"/>
      <c r="M43" s="183"/>
      <c r="N43" s="182"/>
      <c r="O43" s="184"/>
      <c r="P43" s="185"/>
      <c r="Q43" s="186"/>
      <c r="R43" s="187"/>
      <c r="S43" s="188"/>
      <c r="T43" s="189"/>
      <c r="U43" s="190"/>
      <c r="V43" s="191"/>
      <c r="W43" s="258"/>
    </row>
    <row r="44" spans="2:23" ht="12.95" hidden="1" customHeight="1" outlineLevel="1">
      <c r="B44" s="806"/>
      <c r="C44" s="215"/>
      <c r="D44" s="179"/>
      <c r="E44" s="205"/>
      <c r="F44" s="427"/>
      <c r="G44" s="216"/>
      <c r="H44" s="217"/>
      <c r="I44" s="524" t="str">
        <f t="shared" si="4"/>
        <v/>
      </c>
      <c r="J44" s="525" t="str">
        <f t="shared" si="5"/>
        <v/>
      </c>
      <c r="K44" s="182"/>
      <c r="L44" s="182"/>
      <c r="M44" s="183"/>
      <c r="N44" s="182"/>
      <c r="O44" s="184"/>
      <c r="P44" s="185"/>
      <c r="Q44" s="186"/>
      <c r="R44" s="187"/>
      <c r="S44" s="188"/>
      <c r="T44" s="189"/>
      <c r="U44" s="190"/>
      <c r="V44" s="191"/>
      <c r="W44" s="259"/>
    </row>
    <row r="45" spans="2:23" ht="12.95" hidden="1" customHeight="1" outlineLevel="1">
      <c r="B45" s="806"/>
      <c r="C45" s="192"/>
      <c r="D45" s="177"/>
      <c r="E45" s="178"/>
      <c r="F45" s="423"/>
      <c r="G45" s="180"/>
      <c r="H45" s="181"/>
      <c r="I45" s="361" t="str">
        <f t="shared" si="4"/>
        <v/>
      </c>
      <c r="J45" s="520" t="str">
        <f t="shared" si="5"/>
        <v/>
      </c>
      <c r="K45" s="182"/>
      <c r="L45" s="182"/>
      <c r="M45" s="183"/>
      <c r="N45" s="182"/>
      <c r="O45" s="184"/>
      <c r="P45" s="185"/>
      <c r="Q45" s="186"/>
      <c r="R45" s="187"/>
      <c r="S45" s="188"/>
      <c r="T45" s="189"/>
      <c r="U45" s="190"/>
      <c r="V45" s="191"/>
      <c r="W45" s="258"/>
    </row>
    <row r="46" spans="2:23" ht="12.95" hidden="1" customHeight="1" outlineLevel="1">
      <c r="B46" s="806"/>
      <c r="C46" s="192"/>
      <c r="D46" s="177"/>
      <c r="E46" s="193"/>
      <c r="F46" s="423"/>
      <c r="G46" s="180"/>
      <c r="H46" s="181"/>
      <c r="I46" s="361" t="str">
        <f t="shared" si="4"/>
        <v/>
      </c>
      <c r="J46" s="520" t="str">
        <f t="shared" si="5"/>
        <v/>
      </c>
      <c r="K46" s="182"/>
      <c r="L46" s="182"/>
      <c r="M46" s="183"/>
      <c r="N46" s="182"/>
      <c r="O46" s="184"/>
      <c r="P46" s="185"/>
      <c r="Q46" s="186"/>
      <c r="R46" s="187"/>
      <c r="S46" s="188"/>
      <c r="T46" s="189"/>
      <c r="U46" s="190"/>
      <c r="V46" s="191"/>
      <c r="W46" s="234"/>
    </row>
    <row r="47" spans="2:23" ht="12.95" hidden="1" customHeight="1" outlineLevel="1">
      <c r="B47" s="806"/>
      <c r="C47" s="192"/>
      <c r="D47" s="177"/>
      <c r="E47" s="193"/>
      <c r="F47" s="423"/>
      <c r="G47" s="180"/>
      <c r="H47" s="181"/>
      <c r="I47" s="361" t="str">
        <f t="shared" si="4"/>
        <v/>
      </c>
      <c r="J47" s="520" t="str">
        <f t="shared" si="5"/>
        <v/>
      </c>
      <c r="K47" s="182"/>
      <c r="L47" s="182"/>
      <c r="M47" s="183"/>
      <c r="N47" s="182"/>
      <c r="O47" s="184"/>
      <c r="P47" s="185"/>
      <c r="Q47" s="186"/>
      <c r="R47" s="187"/>
      <c r="S47" s="188"/>
      <c r="T47" s="189"/>
      <c r="U47" s="190"/>
      <c r="V47" s="191"/>
      <c r="W47" s="234"/>
    </row>
    <row r="48" spans="2:23" ht="12.95" hidden="1" customHeight="1" outlineLevel="1">
      <c r="B48" s="806"/>
      <c r="C48" s="192"/>
      <c r="D48" s="177"/>
      <c r="E48" s="193"/>
      <c r="F48" s="423"/>
      <c r="G48" s="180"/>
      <c r="H48" s="181"/>
      <c r="I48" s="361" t="str">
        <f t="shared" si="4"/>
        <v/>
      </c>
      <c r="J48" s="520" t="str">
        <f t="shared" si="5"/>
        <v/>
      </c>
      <c r="K48" s="182"/>
      <c r="L48" s="182"/>
      <c r="M48" s="183"/>
      <c r="N48" s="182"/>
      <c r="O48" s="184"/>
      <c r="P48" s="185"/>
      <c r="Q48" s="186"/>
      <c r="R48" s="187"/>
      <c r="S48" s="188"/>
      <c r="T48" s="189"/>
      <c r="U48" s="190"/>
      <c r="V48" s="191"/>
      <c r="W48" s="234"/>
    </row>
    <row r="49" spans="2:23" ht="12.95" hidden="1" customHeight="1" outlineLevel="1">
      <c r="B49" s="806"/>
      <c r="C49" s="192"/>
      <c r="D49" s="177"/>
      <c r="E49" s="178"/>
      <c r="F49" s="423"/>
      <c r="G49" s="180"/>
      <c r="H49" s="181"/>
      <c r="I49" s="361" t="str">
        <f t="shared" si="4"/>
        <v/>
      </c>
      <c r="J49" s="520" t="str">
        <f t="shared" si="5"/>
        <v/>
      </c>
      <c r="K49" s="182"/>
      <c r="L49" s="182"/>
      <c r="M49" s="183"/>
      <c r="N49" s="182"/>
      <c r="O49" s="184"/>
      <c r="P49" s="185"/>
      <c r="Q49" s="186"/>
      <c r="R49" s="187"/>
      <c r="S49" s="188"/>
      <c r="T49" s="189"/>
      <c r="U49" s="190"/>
      <c r="V49" s="191"/>
      <c r="W49" s="258"/>
    </row>
    <row r="50" spans="2:23" ht="12.95" hidden="1" customHeight="1" outlineLevel="1">
      <c r="B50" s="806"/>
      <c r="C50" s="192"/>
      <c r="D50" s="177"/>
      <c r="E50" s="193"/>
      <c r="F50" s="423"/>
      <c r="G50" s="180"/>
      <c r="H50" s="181"/>
      <c r="I50" s="361" t="str">
        <f t="shared" si="4"/>
        <v/>
      </c>
      <c r="J50" s="520" t="str">
        <f t="shared" si="5"/>
        <v/>
      </c>
      <c r="K50" s="182"/>
      <c r="L50" s="182"/>
      <c r="M50" s="183"/>
      <c r="N50" s="182"/>
      <c r="O50" s="184"/>
      <c r="P50" s="185"/>
      <c r="Q50" s="186"/>
      <c r="R50" s="187"/>
      <c r="S50" s="188"/>
      <c r="T50" s="189"/>
      <c r="U50" s="190"/>
      <c r="V50" s="191"/>
      <c r="W50" s="258"/>
    </row>
    <row r="51" spans="2:23" ht="12.95" hidden="1" customHeight="1" outlineLevel="1">
      <c r="B51" s="806"/>
      <c r="C51" s="192"/>
      <c r="D51" s="177"/>
      <c r="E51" s="193"/>
      <c r="F51" s="423"/>
      <c r="G51" s="180"/>
      <c r="H51" s="181"/>
      <c r="I51" s="361" t="str">
        <f t="shared" si="4"/>
        <v/>
      </c>
      <c r="J51" s="520" t="str">
        <f t="shared" si="5"/>
        <v/>
      </c>
      <c r="K51" s="182"/>
      <c r="L51" s="182"/>
      <c r="M51" s="183"/>
      <c r="N51" s="182"/>
      <c r="O51" s="184"/>
      <c r="P51" s="185"/>
      <c r="Q51" s="186"/>
      <c r="R51" s="187"/>
      <c r="S51" s="188"/>
      <c r="T51" s="189"/>
      <c r="U51" s="190"/>
      <c r="V51" s="191"/>
      <c r="W51" s="258"/>
    </row>
    <row r="52" spans="2:23" ht="12.95" hidden="1" customHeight="1" outlineLevel="1">
      <c r="B52" s="806"/>
      <c r="C52" s="192"/>
      <c r="D52" s="177"/>
      <c r="E52" s="205"/>
      <c r="F52" s="427"/>
      <c r="G52" s="180"/>
      <c r="H52" s="181"/>
      <c r="I52" s="361" t="str">
        <f t="shared" si="4"/>
        <v/>
      </c>
      <c r="J52" s="520" t="str">
        <f t="shared" si="5"/>
        <v/>
      </c>
      <c r="K52" s="182"/>
      <c r="L52" s="182"/>
      <c r="M52" s="183"/>
      <c r="N52" s="182"/>
      <c r="O52" s="184"/>
      <c r="P52" s="185"/>
      <c r="Q52" s="186"/>
      <c r="R52" s="187"/>
      <c r="S52" s="188"/>
      <c r="T52" s="189"/>
      <c r="U52" s="190"/>
      <c r="V52" s="191"/>
      <c r="W52" s="258"/>
    </row>
    <row r="53" spans="2:23" ht="12.95" hidden="1" customHeight="1" outlineLevel="1">
      <c r="B53" s="806"/>
      <c r="C53" s="174"/>
      <c r="D53" s="177"/>
      <c r="E53" s="205"/>
      <c r="F53" s="423"/>
      <c r="G53" s="180"/>
      <c r="H53" s="181"/>
      <c r="I53" s="361" t="str">
        <f t="shared" si="4"/>
        <v/>
      </c>
      <c r="J53" s="520" t="str">
        <f t="shared" si="5"/>
        <v/>
      </c>
      <c r="K53" s="182"/>
      <c r="L53" s="182"/>
      <c r="M53" s="183"/>
      <c r="N53" s="182"/>
      <c r="O53" s="184"/>
      <c r="P53" s="185"/>
      <c r="Q53" s="186"/>
      <c r="R53" s="187"/>
      <c r="S53" s="188"/>
      <c r="T53" s="189"/>
      <c r="U53" s="190"/>
      <c r="V53" s="191"/>
      <c r="W53" s="258"/>
    </row>
    <row r="54" spans="2:23" ht="12.95" hidden="1" customHeight="1" outlineLevel="1">
      <c r="B54" s="806"/>
      <c r="C54" s="174"/>
      <c r="D54" s="177"/>
      <c r="E54" s="205"/>
      <c r="F54" s="423"/>
      <c r="G54" s="180"/>
      <c r="H54" s="181"/>
      <c r="I54" s="361" t="str">
        <f t="shared" si="4"/>
        <v/>
      </c>
      <c r="J54" s="520" t="str">
        <f t="shared" si="5"/>
        <v/>
      </c>
      <c r="K54" s="182"/>
      <c r="L54" s="182"/>
      <c r="M54" s="183"/>
      <c r="N54" s="182"/>
      <c r="O54" s="184"/>
      <c r="P54" s="185"/>
      <c r="Q54" s="186"/>
      <c r="R54" s="187"/>
      <c r="S54" s="188"/>
      <c r="T54" s="189"/>
      <c r="U54" s="190"/>
      <c r="V54" s="191"/>
      <c r="W54" s="258"/>
    </row>
    <row r="55" spans="2:23" ht="12.95" hidden="1" customHeight="1" outlineLevel="1">
      <c r="B55" s="806"/>
      <c r="C55" s="174"/>
      <c r="D55" s="177"/>
      <c r="E55" s="193"/>
      <c r="F55" s="423"/>
      <c r="G55" s="180"/>
      <c r="H55" s="181"/>
      <c r="I55" s="361" t="str">
        <f t="shared" si="4"/>
        <v/>
      </c>
      <c r="J55" s="520" t="str">
        <f t="shared" si="5"/>
        <v/>
      </c>
      <c r="K55" s="182"/>
      <c r="L55" s="182"/>
      <c r="M55" s="183"/>
      <c r="N55" s="182"/>
      <c r="O55" s="184"/>
      <c r="P55" s="185"/>
      <c r="Q55" s="186"/>
      <c r="R55" s="187"/>
      <c r="S55" s="188"/>
      <c r="T55" s="189"/>
      <c r="U55" s="190"/>
      <c r="V55" s="191"/>
      <c r="W55" s="258"/>
    </row>
    <row r="56" spans="2:23" ht="12.95" hidden="1" customHeight="1" outlineLevel="1">
      <c r="B56" s="806"/>
      <c r="C56" s="174"/>
      <c r="D56" s="177"/>
      <c r="E56" s="205"/>
      <c r="F56" s="423"/>
      <c r="G56" s="180"/>
      <c r="H56" s="181"/>
      <c r="I56" s="361" t="str">
        <f t="shared" si="4"/>
        <v/>
      </c>
      <c r="J56" s="520" t="str">
        <f t="shared" si="5"/>
        <v/>
      </c>
      <c r="K56" s="182"/>
      <c r="L56" s="182"/>
      <c r="M56" s="183"/>
      <c r="N56" s="182"/>
      <c r="O56" s="184"/>
      <c r="P56" s="185"/>
      <c r="Q56" s="186"/>
      <c r="R56" s="187"/>
      <c r="S56" s="188"/>
      <c r="T56" s="189"/>
      <c r="U56" s="190"/>
      <c r="V56" s="191"/>
      <c r="W56" s="258"/>
    </row>
    <row r="57" spans="2:23" ht="12.95" hidden="1" customHeight="1" outlineLevel="1">
      <c r="B57" s="806"/>
      <c r="C57" s="194"/>
      <c r="D57" s="177"/>
      <c r="E57" s="195"/>
      <c r="F57" s="423"/>
      <c r="G57" s="180"/>
      <c r="H57" s="181"/>
      <c r="I57" s="361" t="str">
        <f t="shared" si="4"/>
        <v/>
      </c>
      <c r="J57" s="520" t="str">
        <f t="shared" si="5"/>
        <v/>
      </c>
      <c r="K57" s="182"/>
      <c r="L57" s="182"/>
      <c r="M57" s="183"/>
      <c r="N57" s="182"/>
      <c r="O57" s="184"/>
      <c r="P57" s="185"/>
      <c r="Q57" s="186"/>
      <c r="R57" s="187"/>
      <c r="S57" s="188"/>
      <c r="T57" s="189"/>
      <c r="U57" s="190"/>
      <c r="V57" s="191"/>
      <c r="W57" s="258"/>
    </row>
    <row r="58" spans="2:23" ht="12.95" hidden="1" customHeight="1" outlineLevel="1">
      <c r="B58" s="806"/>
      <c r="C58" s="194"/>
      <c r="D58" s="177"/>
      <c r="E58" s="195"/>
      <c r="F58" s="427"/>
      <c r="G58" s="180"/>
      <c r="H58" s="181"/>
      <c r="I58" s="361" t="str">
        <f t="shared" si="4"/>
        <v/>
      </c>
      <c r="J58" s="520" t="str">
        <f t="shared" si="5"/>
        <v/>
      </c>
      <c r="K58" s="182"/>
      <c r="L58" s="182"/>
      <c r="M58" s="183"/>
      <c r="N58" s="182"/>
      <c r="O58" s="184"/>
      <c r="P58" s="185"/>
      <c r="Q58" s="186"/>
      <c r="R58" s="187"/>
      <c r="S58" s="188"/>
      <c r="T58" s="189"/>
      <c r="U58" s="190"/>
      <c r="V58" s="191"/>
      <c r="W58" s="258"/>
    </row>
    <row r="59" spans="2:23" ht="12.95" hidden="1" customHeight="1" outlineLevel="1">
      <c r="B59" s="806"/>
      <c r="C59" s="194"/>
      <c r="D59" s="177"/>
      <c r="E59" s="195"/>
      <c r="F59" s="423"/>
      <c r="G59" s="180"/>
      <c r="H59" s="181"/>
      <c r="I59" s="361" t="str">
        <f t="shared" si="4"/>
        <v/>
      </c>
      <c r="J59" s="520" t="str">
        <f t="shared" si="5"/>
        <v/>
      </c>
      <c r="K59" s="182"/>
      <c r="L59" s="182"/>
      <c r="M59" s="183"/>
      <c r="N59" s="182"/>
      <c r="O59" s="184">
        <f t="shared" ref="O59:O97" si="6">IF(K59*L59*N59=0,0,(L59*N59)/K59)</f>
        <v>0</v>
      </c>
      <c r="P59" s="185"/>
      <c r="Q59" s="186"/>
      <c r="R59" s="187"/>
      <c r="S59" s="188"/>
      <c r="T59" s="189" t="str">
        <f t="shared" ref="T59:V60" si="7">IF(Q59="","",Q59*$D59)</f>
        <v/>
      </c>
      <c r="U59" s="190" t="str">
        <f t="shared" si="7"/>
        <v/>
      </c>
      <c r="V59" s="191" t="str">
        <f t="shared" si="7"/>
        <v/>
      </c>
      <c r="W59" s="258"/>
    </row>
    <row r="60" spans="2:23" ht="12.95" hidden="1" customHeight="1" outlineLevel="1" thickBot="1">
      <c r="B60" s="806"/>
      <c r="C60" s="256"/>
      <c r="D60" s="236"/>
      <c r="E60" s="257"/>
      <c r="F60" s="424"/>
      <c r="G60" s="238"/>
      <c r="H60" s="239"/>
      <c r="I60" s="362" t="str">
        <f t="shared" si="4"/>
        <v/>
      </c>
      <c r="J60" s="521" t="str">
        <f t="shared" si="5"/>
        <v/>
      </c>
      <c r="K60" s="240"/>
      <c r="L60" s="240"/>
      <c r="M60" s="241"/>
      <c r="N60" s="240"/>
      <c r="O60" s="242">
        <f t="shared" si="6"/>
        <v>0</v>
      </c>
      <c r="P60" s="243"/>
      <c r="Q60" s="244"/>
      <c r="R60" s="245"/>
      <c r="S60" s="246"/>
      <c r="T60" s="247" t="str">
        <f t="shared" si="7"/>
        <v/>
      </c>
      <c r="U60" s="248" t="str">
        <f t="shared" si="7"/>
        <v/>
      </c>
      <c r="V60" s="249" t="str">
        <f t="shared" si="7"/>
        <v/>
      </c>
      <c r="W60" s="250"/>
    </row>
    <row r="61" spans="2:23" ht="12.95" customHeight="1" collapsed="1" thickBot="1">
      <c r="B61" s="807"/>
      <c r="C61" s="334" t="s">
        <v>294</v>
      </c>
      <c r="D61" s="235"/>
      <c r="E61" s="335"/>
      <c r="F61" s="425"/>
      <c r="G61" s="336"/>
      <c r="H61" s="337"/>
      <c r="I61" s="346"/>
      <c r="J61" s="518">
        <f>SUM(J21:J60)</f>
        <v>3478</v>
      </c>
      <c r="K61" s="338"/>
      <c r="L61" s="338"/>
      <c r="M61" s="339"/>
      <c r="N61" s="338"/>
      <c r="O61" s="340"/>
      <c r="P61" s="341"/>
      <c r="Q61" s="342"/>
      <c r="R61" s="343"/>
      <c r="S61" s="344"/>
      <c r="T61" s="345"/>
      <c r="U61" s="346"/>
      <c r="V61" s="347"/>
      <c r="W61" s="348"/>
    </row>
    <row r="62" spans="2:23" ht="12.95" customHeight="1">
      <c r="B62" s="805" t="s">
        <v>149</v>
      </c>
      <c r="C62" s="358" t="str">
        <f>科目設定!G2</f>
        <v>ガソリン</v>
      </c>
      <c r="D62" s="359">
        <f>SUMIF(③労働時間!$K$5:$K$353,$C62,③労働時間!$N$5:$N$353)</f>
        <v>1.2000000000000002</v>
      </c>
      <c r="E62" s="363" t="s">
        <v>205</v>
      </c>
      <c r="F62" s="422">
        <v>137</v>
      </c>
      <c r="G62" s="221">
        <v>1</v>
      </c>
      <c r="H62" s="222">
        <v>1</v>
      </c>
      <c r="I62" s="527">
        <f>IF(D62=0,"",D62*1/G62*H62)</f>
        <v>1.2000000000000002</v>
      </c>
      <c r="J62" s="519">
        <f>IF(D62=0,"",ROUND(F62*I62,0))</f>
        <v>164</v>
      </c>
      <c r="K62" s="223"/>
      <c r="L62" s="223"/>
      <c r="M62" s="224"/>
      <c r="N62" s="223"/>
      <c r="O62" s="225">
        <v>0</v>
      </c>
      <c r="P62" s="226"/>
      <c r="Q62" s="227"/>
      <c r="R62" s="228"/>
      <c r="S62" s="229"/>
      <c r="T62" s="230" t="s">
        <v>293</v>
      </c>
      <c r="U62" s="231" t="s">
        <v>293</v>
      </c>
      <c r="V62" s="232" t="s">
        <v>293</v>
      </c>
      <c r="W62" s="233" t="s">
        <v>584</v>
      </c>
    </row>
    <row r="63" spans="2:23" ht="12.95" customHeight="1">
      <c r="B63" s="806"/>
      <c r="C63" s="360" t="str">
        <f>科目設定!G3</f>
        <v>軽油</v>
      </c>
      <c r="D63" s="361">
        <f>SUMIF(③労働時間!$K$5:$K$353,$C63,③労働時間!$N$5:$N$353)</f>
        <v>20.648628075294997</v>
      </c>
      <c r="E63" s="364" t="s">
        <v>205</v>
      </c>
      <c r="F63" s="423">
        <v>93.8</v>
      </c>
      <c r="G63" s="180">
        <v>1</v>
      </c>
      <c r="H63" s="181">
        <v>1</v>
      </c>
      <c r="I63" s="528">
        <f t="shared" ref="I63:I69" si="8">IF(D63=0,"",D63*1/G63*H63)</f>
        <v>20.648628075294997</v>
      </c>
      <c r="J63" s="520">
        <f t="shared" ref="J63:J69" si="9">IF(D63=0,"",ROUND(F63*I63,0))</f>
        <v>1937</v>
      </c>
      <c r="K63" s="182"/>
      <c r="L63" s="182"/>
      <c r="M63" s="183"/>
      <c r="N63" s="182"/>
      <c r="O63" s="184">
        <v>0</v>
      </c>
      <c r="P63" s="185"/>
      <c r="Q63" s="186"/>
      <c r="R63" s="187"/>
      <c r="S63" s="188"/>
      <c r="T63" s="189" t="s">
        <v>293</v>
      </c>
      <c r="U63" s="190" t="s">
        <v>293</v>
      </c>
      <c r="V63" s="191" t="s">
        <v>293</v>
      </c>
      <c r="W63" s="258" t="s">
        <v>584</v>
      </c>
    </row>
    <row r="64" spans="2:23" ht="12.95" customHeight="1">
      <c r="B64" s="806"/>
      <c r="C64" s="360" t="str">
        <f>科目設定!G4</f>
        <v>Ａ重油</v>
      </c>
      <c r="D64" s="361">
        <f>SUMIF(③労働時間!$K$5:$K$353,$C64,③労働時間!$N$5:$N$353)</f>
        <v>0</v>
      </c>
      <c r="E64" s="364" t="s">
        <v>205</v>
      </c>
      <c r="F64" s="423">
        <v>75.900000000000006</v>
      </c>
      <c r="G64" s="180">
        <v>1</v>
      </c>
      <c r="H64" s="181">
        <v>1</v>
      </c>
      <c r="I64" s="528" t="str">
        <f t="shared" si="8"/>
        <v/>
      </c>
      <c r="J64" s="520" t="str">
        <f t="shared" si="9"/>
        <v/>
      </c>
      <c r="K64" s="182"/>
      <c r="L64" s="182"/>
      <c r="M64" s="183"/>
      <c r="N64" s="182"/>
      <c r="O64" s="184">
        <v>0</v>
      </c>
      <c r="P64" s="185"/>
      <c r="Q64" s="186"/>
      <c r="R64" s="187"/>
      <c r="S64" s="188"/>
      <c r="T64" s="189" t="s">
        <v>293</v>
      </c>
      <c r="U64" s="190" t="s">
        <v>293</v>
      </c>
      <c r="V64" s="191" t="s">
        <v>293</v>
      </c>
      <c r="W64" s="258" t="s">
        <v>584</v>
      </c>
    </row>
    <row r="65" spans="2:23" ht="12.95" customHeight="1">
      <c r="B65" s="806"/>
      <c r="C65" s="360" t="str">
        <f>科目設定!G5</f>
        <v>電気料</v>
      </c>
      <c r="D65" s="361">
        <f>SUMIF(③労働時間!$K$5:$K$353,$C65,③労働時間!$N$5:$N$353)</f>
        <v>0</v>
      </c>
      <c r="E65" s="364"/>
      <c r="F65" s="423"/>
      <c r="G65" s="180"/>
      <c r="H65" s="181"/>
      <c r="I65" s="528" t="str">
        <f t="shared" si="8"/>
        <v/>
      </c>
      <c r="J65" s="520" t="str">
        <f t="shared" si="9"/>
        <v/>
      </c>
      <c r="K65" s="182"/>
      <c r="L65" s="182"/>
      <c r="M65" s="183"/>
      <c r="N65" s="182"/>
      <c r="O65" s="184"/>
      <c r="P65" s="185"/>
      <c r="Q65" s="186"/>
      <c r="R65" s="187"/>
      <c r="S65" s="188"/>
      <c r="T65" s="189" t="s">
        <v>293</v>
      </c>
      <c r="U65" s="190" t="s">
        <v>293</v>
      </c>
      <c r="V65" s="191" t="s">
        <v>293</v>
      </c>
      <c r="W65" s="258"/>
    </row>
    <row r="66" spans="2:23" ht="12.95" customHeight="1">
      <c r="B66" s="806"/>
      <c r="C66" s="360" t="str">
        <f>科目設定!G6</f>
        <v>水道</v>
      </c>
      <c r="D66" s="361">
        <f>SUMIF(③労働時間!$K$5:$K$353,$C66,③労働時間!$N$5:$N$353)</f>
        <v>0</v>
      </c>
      <c r="E66" s="364"/>
      <c r="F66" s="423"/>
      <c r="G66" s="180"/>
      <c r="H66" s="181"/>
      <c r="I66" s="528" t="str">
        <f t="shared" si="8"/>
        <v/>
      </c>
      <c r="J66" s="520" t="str">
        <f t="shared" si="9"/>
        <v/>
      </c>
      <c r="K66" s="182"/>
      <c r="L66" s="182"/>
      <c r="M66" s="183"/>
      <c r="N66" s="182"/>
      <c r="O66" s="184">
        <f t="shared" si="6"/>
        <v>0</v>
      </c>
      <c r="P66" s="185"/>
      <c r="Q66" s="186"/>
      <c r="R66" s="187"/>
      <c r="S66" s="188"/>
      <c r="T66" s="189" t="str">
        <f t="shared" ref="T66:V69" si="10">IF(Q66="","",Q66*$D66)</f>
        <v/>
      </c>
      <c r="U66" s="190" t="str">
        <f t="shared" si="10"/>
        <v/>
      </c>
      <c r="V66" s="191" t="str">
        <f t="shared" si="10"/>
        <v/>
      </c>
      <c r="W66" s="258"/>
    </row>
    <row r="67" spans="2:23" ht="12.95" customHeight="1">
      <c r="B67" s="806"/>
      <c r="C67" s="360" t="str">
        <f>科目設定!G7</f>
        <v>灯油</v>
      </c>
      <c r="D67" s="361">
        <f>SUMIF(③労働時間!$K$5:$K$353,$C67,③労働時間!$N$5:$N$353)</f>
        <v>0</v>
      </c>
      <c r="E67" s="364" t="s">
        <v>205</v>
      </c>
      <c r="F67" s="423">
        <v>95</v>
      </c>
      <c r="G67" s="180"/>
      <c r="H67" s="181"/>
      <c r="I67" s="528" t="str">
        <f t="shared" si="8"/>
        <v/>
      </c>
      <c r="J67" s="520" t="str">
        <f t="shared" si="9"/>
        <v/>
      </c>
      <c r="K67" s="182"/>
      <c r="L67" s="182"/>
      <c r="M67" s="183"/>
      <c r="N67" s="182"/>
      <c r="O67" s="184">
        <f t="shared" si="6"/>
        <v>0</v>
      </c>
      <c r="P67" s="185"/>
      <c r="Q67" s="186"/>
      <c r="R67" s="187"/>
      <c r="S67" s="188"/>
      <c r="T67" s="189" t="str">
        <f t="shared" si="10"/>
        <v/>
      </c>
      <c r="U67" s="190" t="str">
        <f t="shared" si="10"/>
        <v/>
      </c>
      <c r="V67" s="191" t="str">
        <f t="shared" si="10"/>
        <v/>
      </c>
      <c r="W67" s="258" t="s">
        <v>584</v>
      </c>
    </row>
    <row r="68" spans="2:23" ht="12.95" customHeight="1">
      <c r="B68" s="806"/>
      <c r="C68" s="360" t="str">
        <f>科目設定!G9</f>
        <v>オイル(自動計算)</v>
      </c>
      <c r="D68" s="639">
        <v>1</v>
      </c>
      <c r="E68" s="640" t="s">
        <v>559</v>
      </c>
      <c r="F68" s="653"/>
      <c r="G68" s="654">
        <v>1</v>
      </c>
      <c r="H68" s="655">
        <v>1</v>
      </c>
      <c r="I68" s="641"/>
      <c r="J68" s="520">
        <f>IF(D68=0,"",ROUND((J62+J63)*0.3,0))</f>
        <v>630</v>
      </c>
      <c r="K68" s="642"/>
      <c r="L68" s="642"/>
      <c r="M68" s="643"/>
      <c r="N68" s="642"/>
      <c r="O68" s="644"/>
      <c r="P68" s="645"/>
      <c r="Q68" s="646"/>
      <c r="R68" s="647"/>
      <c r="S68" s="648"/>
      <c r="T68" s="649"/>
      <c r="U68" s="650"/>
      <c r="V68" s="651"/>
      <c r="W68" s="652"/>
    </row>
    <row r="69" spans="2:23" ht="12.95" customHeight="1" thickBot="1">
      <c r="B69" s="806"/>
      <c r="C69" s="596" t="str">
        <f>科目設定!G10</f>
        <v>その他燃料</v>
      </c>
      <c r="D69" s="597"/>
      <c r="E69" s="598"/>
      <c r="F69" s="424"/>
      <c r="G69" s="238"/>
      <c r="H69" s="239"/>
      <c r="I69" s="529" t="str">
        <f t="shared" si="8"/>
        <v/>
      </c>
      <c r="J69" s="521" t="str">
        <f t="shared" si="9"/>
        <v/>
      </c>
      <c r="K69" s="240"/>
      <c r="L69" s="240"/>
      <c r="M69" s="241"/>
      <c r="N69" s="240"/>
      <c r="O69" s="242">
        <f t="shared" si="6"/>
        <v>0</v>
      </c>
      <c r="P69" s="243"/>
      <c r="Q69" s="244"/>
      <c r="R69" s="245"/>
      <c r="S69" s="246"/>
      <c r="T69" s="247" t="str">
        <f t="shared" si="10"/>
        <v/>
      </c>
      <c r="U69" s="248" t="str">
        <f t="shared" si="10"/>
        <v/>
      </c>
      <c r="V69" s="249" t="str">
        <f t="shared" si="10"/>
        <v/>
      </c>
      <c r="W69" s="250"/>
    </row>
    <row r="70" spans="2:23" ht="12.95" customHeight="1" thickTop="1" thickBot="1">
      <c r="B70" s="807"/>
      <c r="C70" s="334" t="s">
        <v>294</v>
      </c>
      <c r="D70" s="235"/>
      <c r="E70" s="335"/>
      <c r="F70" s="425"/>
      <c r="G70" s="336"/>
      <c r="H70" s="337"/>
      <c r="I70" s="346"/>
      <c r="J70" s="518">
        <f>SUM(J62:J69)</f>
        <v>2731</v>
      </c>
      <c r="K70" s="338"/>
      <c r="L70" s="338"/>
      <c r="M70" s="339"/>
      <c r="N70" s="338"/>
      <c r="O70" s="340"/>
      <c r="P70" s="341"/>
      <c r="Q70" s="342"/>
      <c r="R70" s="343"/>
      <c r="S70" s="344"/>
      <c r="T70" s="345"/>
      <c r="U70" s="346"/>
      <c r="V70" s="347"/>
      <c r="W70" s="348"/>
    </row>
    <row r="71" spans="2:23" ht="12.95" customHeight="1">
      <c r="B71" s="805" t="s">
        <v>115</v>
      </c>
      <c r="C71" s="260"/>
      <c r="D71" s="219"/>
      <c r="E71" s="261"/>
      <c r="F71" s="422"/>
      <c r="G71" s="221"/>
      <c r="H71" s="222"/>
      <c r="I71" s="359" t="str">
        <f t="shared" ref="I71:I107" si="11">IF(C71=0,"",D71*1/G71*H71)</f>
        <v/>
      </c>
      <c r="J71" s="519" t="str">
        <f t="shared" ref="J71:J107" si="12">IF(C71=0,"",ROUND(F71*I71,0))</f>
        <v/>
      </c>
      <c r="K71" s="223"/>
      <c r="L71" s="223"/>
      <c r="M71" s="224"/>
      <c r="N71" s="223"/>
      <c r="O71" s="225">
        <v>0</v>
      </c>
      <c r="P71" s="226"/>
      <c r="Q71" s="227"/>
      <c r="R71" s="228"/>
      <c r="S71" s="229"/>
      <c r="T71" s="230" t="s">
        <v>293</v>
      </c>
      <c r="U71" s="231" t="s">
        <v>293</v>
      </c>
      <c r="V71" s="232" t="s">
        <v>293</v>
      </c>
      <c r="W71" s="233"/>
    </row>
    <row r="72" spans="2:23" ht="12.95" customHeight="1">
      <c r="B72" s="806"/>
      <c r="C72" s="196"/>
      <c r="D72" s="177"/>
      <c r="E72" s="195"/>
      <c r="F72" s="423"/>
      <c r="G72" s="180"/>
      <c r="H72" s="181"/>
      <c r="I72" s="361" t="str">
        <f t="shared" si="11"/>
        <v/>
      </c>
      <c r="J72" s="520" t="str">
        <f t="shared" si="12"/>
        <v/>
      </c>
      <c r="K72" s="182"/>
      <c r="L72" s="182"/>
      <c r="M72" s="183"/>
      <c r="N72" s="182"/>
      <c r="O72" s="184">
        <v>0</v>
      </c>
      <c r="P72" s="185"/>
      <c r="Q72" s="186"/>
      <c r="R72" s="187"/>
      <c r="S72" s="188"/>
      <c r="T72" s="189" t="s">
        <v>293</v>
      </c>
      <c r="U72" s="190" t="s">
        <v>293</v>
      </c>
      <c r="V72" s="191" t="s">
        <v>293</v>
      </c>
      <c r="W72" s="258"/>
    </row>
    <row r="73" spans="2:23" ht="12.95" customHeight="1">
      <c r="B73" s="806"/>
      <c r="C73" s="196"/>
      <c r="D73" s="177"/>
      <c r="E73" s="195"/>
      <c r="F73" s="423"/>
      <c r="G73" s="180"/>
      <c r="H73" s="181"/>
      <c r="I73" s="361" t="str">
        <f t="shared" si="11"/>
        <v/>
      </c>
      <c r="J73" s="520" t="str">
        <f t="shared" si="12"/>
        <v/>
      </c>
      <c r="K73" s="182"/>
      <c r="L73" s="182"/>
      <c r="M73" s="183"/>
      <c r="N73" s="182"/>
      <c r="O73" s="184">
        <v>0</v>
      </c>
      <c r="P73" s="185"/>
      <c r="Q73" s="186"/>
      <c r="R73" s="187"/>
      <c r="S73" s="188"/>
      <c r="T73" s="189" t="s">
        <v>293</v>
      </c>
      <c r="U73" s="190" t="s">
        <v>293</v>
      </c>
      <c r="V73" s="191" t="s">
        <v>293</v>
      </c>
      <c r="W73" s="263"/>
    </row>
    <row r="74" spans="2:23" ht="12.95" customHeight="1">
      <c r="B74" s="806"/>
      <c r="C74" s="196"/>
      <c r="D74" s="177"/>
      <c r="E74" s="195"/>
      <c r="F74" s="423"/>
      <c r="G74" s="180"/>
      <c r="H74" s="181"/>
      <c r="I74" s="361" t="str">
        <f t="shared" si="11"/>
        <v/>
      </c>
      <c r="J74" s="520" t="str">
        <f t="shared" si="12"/>
        <v/>
      </c>
      <c r="K74" s="182"/>
      <c r="L74" s="182"/>
      <c r="M74" s="183"/>
      <c r="N74" s="182"/>
      <c r="O74" s="184">
        <v>0</v>
      </c>
      <c r="P74" s="185"/>
      <c r="Q74" s="186"/>
      <c r="R74" s="187"/>
      <c r="S74" s="188"/>
      <c r="T74" s="189" t="s">
        <v>293</v>
      </c>
      <c r="U74" s="190" t="s">
        <v>293</v>
      </c>
      <c r="V74" s="191" t="s">
        <v>293</v>
      </c>
      <c r="W74" s="263"/>
    </row>
    <row r="75" spans="2:23" ht="12.95" hidden="1" customHeight="1" outlineLevel="1">
      <c r="B75" s="806"/>
      <c r="C75" s="196"/>
      <c r="D75" s="177"/>
      <c r="E75" s="195"/>
      <c r="F75" s="423"/>
      <c r="G75" s="180"/>
      <c r="H75" s="181"/>
      <c r="I75" s="361" t="str">
        <f t="shared" si="11"/>
        <v/>
      </c>
      <c r="J75" s="520" t="str">
        <f t="shared" si="12"/>
        <v/>
      </c>
      <c r="K75" s="182"/>
      <c r="L75" s="182"/>
      <c r="M75" s="183"/>
      <c r="N75" s="182"/>
      <c r="O75" s="184">
        <v>0</v>
      </c>
      <c r="P75" s="185"/>
      <c r="Q75" s="186"/>
      <c r="R75" s="187"/>
      <c r="S75" s="188"/>
      <c r="T75" s="189" t="s">
        <v>293</v>
      </c>
      <c r="U75" s="190" t="s">
        <v>293</v>
      </c>
      <c r="V75" s="191" t="s">
        <v>293</v>
      </c>
      <c r="W75" s="263"/>
    </row>
    <row r="76" spans="2:23" ht="12.95" hidden="1" customHeight="1" outlineLevel="1">
      <c r="B76" s="806"/>
      <c r="C76" s="196"/>
      <c r="D76" s="177"/>
      <c r="E76" s="195"/>
      <c r="F76" s="423"/>
      <c r="G76" s="180"/>
      <c r="H76" s="181"/>
      <c r="I76" s="361" t="str">
        <f t="shared" si="11"/>
        <v/>
      </c>
      <c r="J76" s="520" t="str">
        <f t="shared" si="12"/>
        <v/>
      </c>
      <c r="K76" s="182"/>
      <c r="L76" s="182"/>
      <c r="M76" s="183"/>
      <c r="N76" s="182"/>
      <c r="O76" s="184">
        <v>0</v>
      </c>
      <c r="P76" s="185"/>
      <c r="Q76" s="186"/>
      <c r="R76" s="187"/>
      <c r="S76" s="188"/>
      <c r="T76" s="189" t="s">
        <v>293</v>
      </c>
      <c r="U76" s="190" t="s">
        <v>293</v>
      </c>
      <c r="V76" s="191" t="s">
        <v>293</v>
      </c>
      <c r="W76" s="263"/>
    </row>
    <row r="77" spans="2:23" ht="12.95" hidden="1" customHeight="1" outlineLevel="1">
      <c r="B77" s="806"/>
      <c r="C77" s="196"/>
      <c r="D77" s="177"/>
      <c r="E77" s="195"/>
      <c r="F77" s="423"/>
      <c r="G77" s="180"/>
      <c r="H77" s="181"/>
      <c r="I77" s="361" t="str">
        <f t="shared" si="11"/>
        <v/>
      </c>
      <c r="J77" s="520" t="str">
        <f t="shared" si="12"/>
        <v/>
      </c>
      <c r="K77" s="182"/>
      <c r="L77" s="182"/>
      <c r="M77" s="183"/>
      <c r="N77" s="182"/>
      <c r="O77" s="184">
        <v>0</v>
      </c>
      <c r="P77" s="185"/>
      <c r="Q77" s="186"/>
      <c r="R77" s="187"/>
      <c r="S77" s="188"/>
      <c r="T77" s="189" t="s">
        <v>293</v>
      </c>
      <c r="U77" s="190" t="s">
        <v>293</v>
      </c>
      <c r="V77" s="191" t="s">
        <v>293</v>
      </c>
      <c r="W77" s="263"/>
    </row>
    <row r="78" spans="2:23" ht="12.95" hidden="1" customHeight="1" outlineLevel="1">
      <c r="B78" s="806"/>
      <c r="C78" s="196"/>
      <c r="D78" s="177"/>
      <c r="E78" s="195"/>
      <c r="F78" s="423"/>
      <c r="G78" s="180"/>
      <c r="H78" s="181"/>
      <c r="I78" s="361" t="str">
        <f t="shared" si="11"/>
        <v/>
      </c>
      <c r="J78" s="520" t="str">
        <f t="shared" si="12"/>
        <v/>
      </c>
      <c r="K78" s="182"/>
      <c r="L78" s="182"/>
      <c r="M78" s="183"/>
      <c r="N78" s="182"/>
      <c r="O78" s="184">
        <v>0</v>
      </c>
      <c r="P78" s="185"/>
      <c r="Q78" s="186"/>
      <c r="R78" s="187"/>
      <c r="S78" s="188"/>
      <c r="T78" s="189" t="s">
        <v>293</v>
      </c>
      <c r="U78" s="190" t="s">
        <v>293</v>
      </c>
      <c r="V78" s="191" t="s">
        <v>293</v>
      </c>
      <c r="W78" s="263"/>
    </row>
    <row r="79" spans="2:23" ht="12.95" hidden="1" customHeight="1" outlineLevel="1">
      <c r="B79" s="806"/>
      <c r="C79" s="196"/>
      <c r="D79" s="177"/>
      <c r="E79" s="195"/>
      <c r="F79" s="423"/>
      <c r="G79" s="180"/>
      <c r="H79" s="181"/>
      <c r="I79" s="361" t="str">
        <f t="shared" si="11"/>
        <v/>
      </c>
      <c r="J79" s="520" t="str">
        <f t="shared" si="12"/>
        <v/>
      </c>
      <c r="K79" s="182"/>
      <c r="L79" s="182"/>
      <c r="M79" s="183"/>
      <c r="N79" s="182"/>
      <c r="O79" s="184">
        <v>0</v>
      </c>
      <c r="P79" s="185"/>
      <c r="Q79" s="186"/>
      <c r="R79" s="187"/>
      <c r="S79" s="188"/>
      <c r="T79" s="189" t="s">
        <v>293</v>
      </c>
      <c r="U79" s="190" t="s">
        <v>293</v>
      </c>
      <c r="V79" s="191" t="s">
        <v>293</v>
      </c>
      <c r="W79" s="263"/>
    </row>
    <row r="80" spans="2:23" ht="12.95" hidden="1" customHeight="1" outlineLevel="1">
      <c r="B80" s="806"/>
      <c r="C80" s="196"/>
      <c r="D80" s="177"/>
      <c r="E80" s="195"/>
      <c r="F80" s="423"/>
      <c r="G80" s="180"/>
      <c r="H80" s="181"/>
      <c r="I80" s="361" t="str">
        <f t="shared" si="11"/>
        <v/>
      </c>
      <c r="J80" s="520" t="str">
        <f t="shared" si="12"/>
        <v/>
      </c>
      <c r="K80" s="182"/>
      <c r="L80" s="182"/>
      <c r="M80" s="183"/>
      <c r="N80" s="182"/>
      <c r="O80" s="184">
        <v>0</v>
      </c>
      <c r="P80" s="185"/>
      <c r="Q80" s="186"/>
      <c r="R80" s="187"/>
      <c r="S80" s="188"/>
      <c r="T80" s="189" t="s">
        <v>293</v>
      </c>
      <c r="U80" s="190" t="s">
        <v>293</v>
      </c>
      <c r="V80" s="191" t="s">
        <v>293</v>
      </c>
      <c r="W80" s="263"/>
    </row>
    <row r="81" spans="2:23" ht="12.95" hidden="1" customHeight="1" outlineLevel="1">
      <c r="B81" s="806"/>
      <c r="C81" s="196"/>
      <c r="D81" s="177"/>
      <c r="E81" s="195"/>
      <c r="F81" s="423"/>
      <c r="G81" s="180"/>
      <c r="H81" s="181"/>
      <c r="I81" s="361" t="str">
        <f t="shared" si="11"/>
        <v/>
      </c>
      <c r="J81" s="520" t="str">
        <f t="shared" si="12"/>
        <v/>
      </c>
      <c r="K81" s="182"/>
      <c r="L81" s="182"/>
      <c r="M81" s="183"/>
      <c r="N81" s="182"/>
      <c r="O81" s="184">
        <v>0</v>
      </c>
      <c r="P81" s="185"/>
      <c r="Q81" s="186"/>
      <c r="R81" s="187"/>
      <c r="S81" s="188"/>
      <c r="T81" s="189" t="s">
        <v>293</v>
      </c>
      <c r="U81" s="190" t="s">
        <v>293</v>
      </c>
      <c r="V81" s="191" t="s">
        <v>293</v>
      </c>
      <c r="W81" s="263"/>
    </row>
    <row r="82" spans="2:23" ht="12.95" hidden="1" customHeight="1" outlineLevel="1">
      <c r="B82" s="806"/>
      <c r="C82" s="196"/>
      <c r="D82" s="177"/>
      <c r="E82" s="195"/>
      <c r="F82" s="423"/>
      <c r="G82" s="180"/>
      <c r="H82" s="181"/>
      <c r="I82" s="361" t="str">
        <f t="shared" si="11"/>
        <v/>
      </c>
      <c r="J82" s="520" t="str">
        <f t="shared" si="12"/>
        <v/>
      </c>
      <c r="K82" s="182"/>
      <c r="L82" s="182"/>
      <c r="M82" s="183"/>
      <c r="N82" s="182"/>
      <c r="O82" s="184">
        <v>0</v>
      </c>
      <c r="P82" s="185"/>
      <c r="Q82" s="186"/>
      <c r="R82" s="187"/>
      <c r="S82" s="188"/>
      <c r="T82" s="189" t="s">
        <v>293</v>
      </c>
      <c r="U82" s="190" t="s">
        <v>293</v>
      </c>
      <c r="V82" s="191" t="s">
        <v>293</v>
      </c>
      <c r="W82" s="263"/>
    </row>
    <row r="83" spans="2:23" ht="12.95" hidden="1" customHeight="1" outlineLevel="1">
      <c r="B83" s="806"/>
      <c r="C83" s="196"/>
      <c r="D83" s="177"/>
      <c r="E83" s="195"/>
      <c r="F83" s="423"/>
      <c r="G83" s="180"/>
      <c r="H83" s="181"/>
      <c r="I83" s="361" t="str">
        <f t="shared" si="11"/>
        <v/>
      </c>
      <c r="J83" s="520" t="str">
        <f t="shared" si="12"/>
        <v/>
      </c>
      <c r="K83" s="182"/>
      <c r="L83" s="182"/>
      <c r="M83" s="183"/>
      <c r="N83" s="182"/>
      <c r="O83" s="184">
        <v>0</v>
      </c>
      <c r="P83" s="185"/>
      <c r="Q83" s="186"/>
      <c r="R83" s="187"/>
      <c r="S83" s="188"/>
      <c r="T83" s="189" t="s">
        <v>293</v>
      </c>
      <c r="U83" s="190" t="s">
        <v>293</v>
      </c>
      <c r="V83" s="191" t="s">
        <v>293</v>
      </c>
      <c r="W83" s="263"/>
    </row>
    <row r="84" spans="2:23" ht="12.95" hidden="1" customHeight="1" outlineLevel="1">
      <c r="B84" s="806"/>
      <c r="C84" s="196"/>
      <c r="D84" s="177"/>
      <c r="E84" s="195"/>
      <c r="F84" s="423"/>
      <c r="G84" s="180"/>
      <c r="H84" s="181"/>
      <c r="I84" s="361" t="str">
        <f t="shared" si="11"/>
        <v/>
      </c>
      <c r="J84" s="520" t="str">
        <f t="shared" si="12"/>
        <v/>
      </c>
      <c r="K84" s="182"/>
      <c r="L84" s="182"/>
      <c r="M84" s="183"/>
      <c r="N84" s="182"/>
      <c r="O84" s="184">
        <v>0</v>
      </c>
      <c r="P84" s="185"/>
      <c r="Q84" s="186"/>
      <c r="R84" s="187"/>
      <c r="S84" s="188"/>
      <c r="T84" s="189" t="s">
        <v>293</v>
      </c>
      <c r="U84" s="190" t="s">
        <v>293</v>
      </c>
      <c r="V84" s="191" t="s">
        <v>293</v>
      </c>
      <c r="W84" s="263"/>
    </row>
    <row r="85" spans="2:23" ht="12.95" hidden="1" customHeight="1" outlineLevel="1">
      <c r="B85" s="806"/>
      <c r="C85" s="196"/>
      <c r="D85" s="177"/>
      <c r="E85" s="195"/>
      <c r="F85" s="423"/>
      <c r="G85" s="180"/>
      <c r="H85" s="181"/>
      <c r="I85" s="361" t="str">
        <f t="shared" si="11"/>
        <v/>
      </c>
      <c r="J85" s="520" t="str">
        <f t="shared" si="12"/>
        <v/>
      </c>
      <c r="K85" s="182"/>
      <c r="L85" s="182"/>
      <c r="M85" s="183"/>
      <c r="N85" s="182"/>
      <c r="O85" s="184">
        <v>0</v>
      </c>
      <c r="P85" s="185"/>
      <c r="Q85" s="186"/>
      <c r="R85" s="187"/>
      <c r="S85" s="188"/>
      <c r="T85" s="189" t="s">
        <v>293</v>
      </c>
      <c r="U85" s="190" t="s">
        <v>293</v>
      </c>
      <c r="V85" s="191" t="s">
        <v>293</v>
      </c>
      <c r="W85" s="263"/>
    </row>
    <row r="86" spans="2:23" ht="12.95" hidden="1" customHeight="1" outlineLevel="1">
      <c r="B86" s="806"/>
      <c r="C86" s="196"/>
      <c r="D86" s="177"/>
      <c r="E86" s="195"/>
      <c r="F86" s="423"/>
      <c r="G86" s="180"/>
      <c r="H86" s="181"/>
      <c r="I86" s="361" t="str">
        <f t="shared" si="11"/>
        <v/>
      </c>
      <c r="J86" s="520" t="str">
        <f t="shared" si="12"/>
        <v/>
      </c>
      <c r="K86" s="182"/>
      <c r="L86" s="182"/>
      <c r="M86" s="183"/>
      <c r="N86" s="182"/>
      <c r="O86" s="184">
        <v>0</v>
      </c>
      <c r="P86" s="185"/>
      <c r="Q86" s="186"/>
      <c r="R86" s="187"/>
      <c r="S86" s="188"/>
      <c r="T86" s="189" t="s">
        <v>293</v>
      </c>
      <c r="U86" s="190" t="s">
        <v>293</v>
      </c>
      <c r="V86" s="191" t="s">
        <v>293</v>
      </c>
      <c r="W86" s="263"/>
    </row>
    <row r="87" spans="2:23" ht="12.95" hidden="1" customHeight="1" outlineLevel="1">
      <c r="B87" s="806"/>
      <c r="C87" s="196"/>
      <c r="D87" s="177"/>
      <c r="E87" s="195"/>
      <c r="F87" s="423"/>
      <c r="G87" s="180"/>
      <c r="H87" s="181"/>
      <c r="I87" s="361" t="str">
        <f t="shared" si="11"/>
        <v/>
      </c>
      <c r="J87" s="520" t="str">
        <f t="shared" si="12"/>
        <v/>
      </c>
      <c r="K87" s="182"/>
      <c r="L87" s="182"/>
      <c r="M87" s="183"/>
      <c r="N87" s="182"/>
      <c r="O87" s="184">
        <v>0</v>
      </c>
      <c r="P87" s="185"/>
      <c r="Q87" s="186"/>
      <c r="R87" s="187"/>
      <c r="S87" s="188"/>
      <c r="T87" s="189" t="s">
        <v>293</v>
      </c>
      <c r="U87" s="190" t="s">
        <v>293</v>
      </c>
      <c r="V87" s="191" t="s">
        <v>293</v>
      </c>
      <c r="W87" s="263"/>
    </row>
    <row r="88" spans="2:23" ht="12.95" hidden="1" customHeight="1" outlineLevel="1">
      <c r="B88" s="806"/>
      <c r="C88" s="196"/>
      <c r="D88" s="177"/>
      <c r="E88" s="195"/>
      <c r="F88" s="423"/>
      <c r="G88" s="180"/>
      <c r="H88" s="181"/>
      <c r="I88" s="361" t="str">
        <f t="shared" si="11"/>
        <v/>
      </c>
      <c r="J88" s="520" t="str">
        <f t="shared" si="12"/>
        <v/>
      </c>
      <c r="K88" s="182"/>
      <c r="L88" s="182"/>
      <c r="M88" s="183"/>
      <c r="N88" s="182"/>
      <c r="O88" s="184">
        <v>0</v>
      </c>
      <c r="P88" s="185"/>
      <c r="Q88" s="186"/>
      <c r="R88" s="187"/>
      <c r="S88" s="188"/>
      <c r="T88" s="189" t="s">
        <v>293</v>
      </c>
      <c r="U88" s="190" t="s">
        <v>293</v>
      </c>
      <c r="V88" s="191" t="s">
        <v>293</v>
      </c>
      <c r="W88" s="263"/>
    </row>
    <row r="89" spans="2:23" ht="12.95" hidden="1" customHeight="1" outlineLevel="1">
      <c r="B89" s="806"/>
      <c r="C89" s="196"/>
      <c r="D89" s="177"/>
      <c r="E89" s="195"/>
      <c r="F89" s="423"/>
      <c r="G89" s="180"/>
      <c r="H89" s="181"/>
      <c r="I89" s="361" t="str">
        <f t="shared" si="11"/>
        <v/>
      </c>
      <c r="J89" s="520" t="str">
        <f t="shared" si="12"/>
        <v/>
      </c>
      <c r="K89" s="182"/>
      <c r="L89" s="182"/>
      <c r="M89" s="183"/>
      <c r="N89" s="182"/>
      <c r="O89" s="184">
        <f t="shared" si="6"/>
        <v>0</v>
      </c>
      <c r="P89" s="185"/>
      <c r="Q89" s="186"/>
      <c r="R89" s="187"/>
      <c r="S89" s="188"/>
      <c r="T89" s="189" t="str">
        <f t="shared" ref="T89:T107" si="13">IF(Q89="","",Q89*$D89)</f>
        <v/>
      </c>
      <c r="U89" s="190" t="str">
        <f t="shared" ref="U89:U107" si="14">IF(R89="","",R89*$D89)</f>
        <v/>
      </c>
      <c r="V89" s="191" t="str">
        <f t="shared" ref="V89:V107" si="15">IF(S89="","",S89*$D89)</f>
        <v/>
      </c>
      <c r="W89" s="263"/>
    </row>
    <row r="90" spans="2:23" ht="12.95" hidden="1" customHeight="1" outlineLevel="1">
      <c r="B90" s="806"/>
      <c r="C90" s="196"/>
      <c r="D90" s="177"/>
      <c r="E90" s="195"/>
      <c r="F90" s="423"/>
      <c r="G90" s="180"/>
      <c r="H90" s="181"/>
      <c r="I90" s="361" t="str">
        <f t="shared" si="11"/>
        <v/>
      </c>
      <c r="J90" s="520" t="str">
        <f t="shared" si="12"/>
        <v/>
      </c>
      <c r="K90" s="182"/>
      <c r="L90" s="182"/>
      <c r="M90" s="183"/>
      <c r="N90" s="182"/>
      <c r="O90" s="184">
        <f t="shared" si="6"/>
        <v>0</v>
      </c>
      <c r="P90" s="185"/>
      <c r="Q90" s="186"/>
      <c r="R90" s="187"/>
      <c r="S90" s="188"/>
      <c r="T90" s="189" t="str">
        <f t="shared" si="13"/>
        <v/>
      </c>
      <c r="U90" s="190" t="str">
        <f t="shared" si="14"/>
        <v/>
      </c>
      <c r="V90" s="191" t="str">
        <f t="shared" si="15"/>
        <v/>
      </c>
      <c r="W90" s="263"/>
    </row>
    <row r="91" spans="2:23" ht="12.95" hidden="1" customHeight="1" outlineLevel="1">
      <c r="B91" s="806"/>
      <c r="C91" s="196"/>
      <c r="D91" s="177"/>
      <c r="E91" s="195"/>
      <c r="F91" s="423"/>
      <c r="G91" s="180"/>
      <c r="H91" s="181"/>
      <c r="I91" s="361" t="str">
        <f t="shared" si="11"/>
        <v/>
      </c>
      <c r="J91" s="520" t="str">
        <f t="shared" si="12"/>
        <v/>
      </c>
      <c r="K91" s="182"/>
      <c r="L91" s="182"/>
      <c r="M91" s="183"/>
      <c r="N91" s="182"/>
      <c r="O91" s="184">
        <f t="shared" si="6"/>
        <v>0</v>
      </c>
      <c r="P91" s="185"/>
      <c r="Q91" s="186"/>
      <c r="R91" s="187"/>
      <c r="S91" s="188"/>
      <c r="T91" s="189" t="str">
        <f t="shared" si="13"/>
        <v/>
      </c>
      <c r="U91" s="190" t="str">
        <f t="shared" si="14"/>
        <v/>
      </c>
      <c r="V91" s="191" t="str">
        <f t="shared" si="15"/>
        <v/>
      </c>
      <c r="W91" s="263"/>
    </row>
    <row r="92" spans="2:23" ht="12.95" hidden="1" customHeight="1" outlineLevel="1">
      <c r="B92" s="806"/>
      <c r="C92" s="196"/>
      <c r="D92" s="177"/>
      <c r="E92" s="195"/>
      <c r="F92" s="423"/>
      <c r="G92" s="180"/>
      <c r="H92" s="181"/>
      <c r="I92" s="361" t="str">
        <f t="shared" si="11"/>
        <v/>
      </c>
      <c r="J92" s="520" t="str">
        <f t="shared" si="12"/>
        <v/>
      </c>
      <c r="K92" s="182"/>
      <c r="L92" s="182"/>
      <c r="M92" s="183"/>
      <c r="N92" s="182"/>
      <c r="O92" s="184">
        <f t="shared" si="6"/>
        <v>0</v>
      </c>
      <c r="P92" s="185"/>
      <c r="Q92" s="186"/>
      <c r="R92" s="187"/>
      <c r="S92" s="188"/>
      <c r="T92" s="189" t="str">
        <f t="shared" si="13"/>
        <v/>
      </c>
      <c r="U92" s="190" t="str">
        <f t="shared" si="14"/>
        <v/>
      </c>
      <c r="V92" s="191" t="str">
        <f t="shared" si="15"/>
        <v/>
      </c>
      <c r="W92" s="263"/>
    </row>
    <row r="93" spans="2:23" ht="12.95" hidden="1" customHeight="1" outlineLevel="1">
      <c r="B93" s="806"/>
      <c r="C93" s="196"/>
      <c r="D93" s="177"/>
      <c r="E93" s="195"/>
      <c r="F93" s="423"/>
      <c r="G93" s="180"/>
      <c r="H93" s="181"/>
      <c r="I93" s="361" t="str">
        <f t="shared" si="11"/>
        <v/>
      </c>
      <c r="J93" s="520" t="str">
        <f t="shared" si="12"/>
        <v/>
      </c>
      <c r="K93" s="182"/>
      <c r="L93" s="182"/>
      <c r="M93" s="183"/>
      <c r="N93" s="182"/>
      <c r="O93" s="184">
        <f t="shared" si="6"/>
        <v>0</v>
      </c>
      <c r="P93" s="185"/>
      <c r="Q93" s="186"/>
      <c r="R93" s="187"/>
      <c r="S93" s="188"/>
      <c r="T93" s="189" t="str">
        <f t="shared" si="13"/>
        <v/>
      </c>
      <c r="U93" s="190" t="str">
        <f t="shared" si="14"/>
        <v/>
      </c>
      <c r="V93" s="191" t="str">
        <f t="shared" si="15"/>
        <v/>
      </c>
      <c r="W93" s="263"/>
    </row>
    <row r="94" spans="2:23" ht="12.95" hidden="1" customHeight="1" outlineLevel="1">
      <c r="B94" s="806"/>
      <c r="C94" s="196"/>
      <c r="D94" s="177"/>
      <c r="E94" s="195"/>
      <c r="F94" s="423"/>
      <c r="G94" s="180"/>
      <c r="H94" s="181"/>
      <c r="I94" s="361" t="str">
        <f t="shared" si="11"/>
        <v/>
      </c>
      <c r="J94" s="520" t="str">
        <f t="shared" si="12"/>
        <v/>
      </c>
      <c r="K94" s="182"/>
      <c r="L94" s="182"/>
      <c r="M94" s="183"/>
      <c r="N94" s="182"/>
      <c r="O94" s="184">
        <f t="shared" si="6"/>
        <v>0</v>
      </c>
      <c r="P94" s="185"/>
      <c r="Q94" s="186"/>
      <c r="R94" s="187"/>
      <c r="S94" s="188"/>
      <c r="T94" s="189" t="str">
        <f t="shared" si="13"/>
        <v/>
      </c>
      <c r="U94" s="190" t="str">
        <f t="shared" si="14"/>
        <v/>
      </c>
      <c r="V94" s="191" t="str">
        <f t="shared" si="15"/>
        <v/>
      </c>
      <c r="W94" s="263"/>
    </row>
    <row r="95" spans="2:23" ht="12.95" hidden="1" customHeight="1" outlineLevel="1">
      <c r="B95" s="806"/>
      <c r="C95" s="196"/>
      <c r="D95" s="177"/>
      <c r="E95" s="195"/>
      <c r="F95" s="423"/>
      <c r="G95" s="180"/>
      <c r="H95" s="181"/>
      <c r="I95" s="361" t="str">
        <f t="shared" si="11"/>
        <v/>
      </c>
      <c r="J95" s="520" t="str">
        <f t="shared" si="12"/>
        <v/>
      </c>
      <c r="K95" s="182"/>
      <c r="L95" s="182"/>
      <c r="M95" s="183"/>
      <c r="N95" s="182"/>
      <c r="O95" s="184">
        <f t="shared" si="6"/>
        <v>0</v>
      </c>
      <c r="P95" s="185"/>
      <c r="Q95" s="186"/>
      <c r="R95" s="187"/>
      <c r="S95" s="188"/>
      <c r="T95" s="189" t="str">
        <f t="shared" si="13"/>
        <v/>
      </c>
      <c r="U95" s="190" t="str">
        <f t="shared" si="14"/>
        <v/>
      </c>
      <c r="V95" s="191" t="str">
        <f t="shared" si="15"/>
        <v/>
      </c>
      <c r="W95" s="263"/>
    </row>
    <row r="96" spans="2:23" ht="12.95" hidden="1" customHeight="1" outlineLevel="1">
      <c r="B96" s="806"/>
      <c r="C96" s="196"/>
      <c r="D96" s="177"/>
      <c r="E96" s="195"/>
      <c r="F96" s="423"/>
      <c r="G96" s="180"/>
      <c r="H96" s="181"/>
      <c r="I96" s="361" t="str">
        <f t="shared" si="11"/>
        <v/>
      </c>
      <c r="J96" s="520" t="str">
        <f t="shared" si="12"/>
        <v/>
      </c>
      <c r="K96" s="182"/>
      <c r="L96" s="182"/>
      <c r="M96" s="183"/>
      <c r="N96" s="182"/>
      <c r="O96" s="184">
        <f t="shared" si="6"/>
        <v>0</v>
      </c>
      <c r="P96" s="185"/>
      <c r="Q96" s="186"/>
      <c r="R96" s="187"/>
      <c r="S96" s="188"/>
      <c r="T96" s="189" t="str">
        <f t="shared" si="13"/>
        <v/>
      </c>
      <c r="U96" s="190" t="str">
        <f t="shared" si="14"/>
        <v/>
      </c>
      <c r="V96" s="191" t="str">
        <f t="shared" si="15"/>
        <v/>
      </c>
      <c r="W96" s="263"/>
    </row>
    <row r="97" spans="2:23" ht="12.95" hidden="1" customHeight="1" outlineLevel="1">
      <c r="B97" s="806"/>
      <c r="C97" s="194"/>
      <c r="D97" s="177"/>
      <c r="E97" s="195"/>
      <c r="F97" s="423"/>
      <c r="G97" s="197"/>
      <c r="H97" s="181"/>
      <c r="I97" s="361" t="str">
        <f t="shared" si="11"/>
        <v/>
      </c>
      <c r="J97" s="520" t="str">
        <f t="shared" si="12"/>
        <v/>
      </c>
      <c r="K97" s="182"/>
      <c r="L97" s="182"/>
      <c r="M97" s="183"/>
      <c r="N97" s="182"/>
      <c r="O97" s="184">
        <f t="shared" si="6"/>
        <v>0</v>
      </c>
      <c r="P97" s="185"/>
      <c r="Q97" s="186"/>
      <c r="R97" s="187"/>
      <c r="S97" s="188"/>
      <c r="T97" s="189" t="str">
        <f t="shared" si="13"/>
        <v/>
      </c>
      <c r="U97" s="190" t="str">
        <f t="shared" si="14"/>
        <v/>
      </c>
      <c r="V97" s="191" t="str">
        <f t="shared" si="15"/>
        <v/>
      </c>
      <c r="W97" s="263"/>
    </row>
    <row r="98" spans="2:23" ht="12.95" hidden="1" customHeight="1" outlineLevel="1">
      <c r="B98" s="806"/>
      <c r="C98" s="196"/>
      <c r="D98" s="177"/>
      <c r="E98" s="195"/>
      <c r="F98" s="423"/>
      <c r="G98" s="180"/>
      <c r="H98" s="181"/>
      <c r="I98" s="361" t="str">
        <f t="shared" si="11"/>
        <v/>
      </c>
      <c r="J98" s="520" t="str">
        <f t="shared" si="12"/>
        <v/>
      </c>
      <c r="K98" s="182"/>
      <c r="L98" s="182"/>
      <c r="M98" s="183"/>
      <c r="N98" s="182"/>
      <c r="O98" s="184">
        <f t="shared" ref="O98:O142" si="16">IF(K98*L98*N98=0,0,(L98*N98)/K98)</f>
        <v>0</v>
      </c>
      <c r="P98" s="185"/>
      <c r="Q98" s="186"/>
      <c r="R98" s="187"/>
      <c r="S98" s="188"/>
      <c r="T98" s="189" t="str">
        <f t="shared" si="13"/>
        <v/>
      </c>
      <c r="U98" s="190" t="str">
        <f t="shared" si="14"/>
        <v/>
      </c>
      <c r="V98" s="191" t="str">
        <f t="shared" si="15"/>
        <v/>
      </c>
      <c r="W98" s="263"/>
    </row>
    <row r="99" spans="2:23" ht="12.95" hidden="1" customHeight="1" outlineLevel="1">
      <c r="B99" s="806"/>
      <c r="C99" s="196"/>
      <c r="D99" s="177"/>
      <c r="E99" s="195"/>
      <c r="F99" s="423"/>
      <c r="G99" s="180"/>
      <c r="H99" s="181"/>
      <c r="I99" s="361" t="str">
        <f t="shared" si="11"/>
        <v/>
      </c>
      <c r="J99" s="520" t="str">
        <f t="shared" si="12"/>
        <v/>
      </c>
      <c r="K99" s="182"/>
      <c r="L99" s="182"/>
      <c r="M99" s="183"/>
      <c r="N99" s="182"/>
      <c r="O99" s="184">
        <f t="shared" si="16"/>
        <v>0</v>
      </c>
      <c r="P99" s="185"/>
      <c r="Q99" s="186"/>
      <c r="R99" s="187"/>
      <c r="S99" s="188"/>
      <c r="T99" s="189" t="str">
        <f t="shared" si="13"/>
        <v/>
      </c>
      <c r="U99" s="190" t="str">
        <f t="shared" si="14"/>
        <v/>
      </c>
      <c r="V99" s="191" t="str">
        <f t="shared" si="15"/>
        <v/>
      </c>
      <c r="W99" s="263"/>
    </row>
    <row r="100" spans="2:23" ht="12.95" hidden="1" customHeight="1" outlineLevel="1">
      <c r="B100" s="806"/>
      <c r="C100" s="192"/>
      <c r="D100" s="177"/>
      <c r="E100" s="193"/>
      <c r="F100" s="423"/>
      <c r="G100" s="180"/>
      <c r="H100" s="181"/>
      <c r="I100" s="361" t="str">
        <f t="shared" si="11"/>
        <v/>
      </c>
      <c r="J100" s="520" t="str">
        <f t="shared" si="12"/>
        <v/>
      </c>
      <c r="K100" s="182"/>
      <c r="L100" s="182"/>
      <c r="M100" s="183"/>
      <c r="N100" s="182"/>
      <c r="O100" s="184">
        <f t="shared" si="16"/>
        <v>0</v>
      </c>
      <c r="P100" s="185"/>
      <c r="Q100" s="186"/>
      <c r="R100" s="187"/>
      <c r="S100" s="188"/>
      <c r="T100" s="189" t="str">
        <f t="shared" si="13"/>
        <v/>
      </c>
      <c r="U100" s="190" t="str">
        <f t="shared" si="14"/>
        <v/>
      </c>
      <c r="V100" s="191" t="str">
        <f t="shared" si="15"/>
        <v/>
      </c>
      <c r="W100" s="263"/>
    </row>
    <row r="101" spans="2:23" ht="12.95" hidden="1" customHeight="1" outlineLevel="1">
      <c r="B101" s="806"/>
      <c r="C101" s="196"/>
      <c r="D101" s="177"/>
      <c r="E101" s="195"/>
      <c r="F101" s="423"/>
      <c r="G101" s="180"/>
      <c r="H101" s="181"/>
      <c r="I101" s="361" t="str">
        <f t="shared" si="11"/>
        <v/>
      </c>
      <c r="J101" s="520" t="str">
        <f t="shared" si="12"/>
        <v/>
      </c>
      <c r="K101" s="182"/>
      <c r="L101" s="182"/>
      <c r="M101" s="183"/>
      <c r="N101" s="182"/>
      <c r="O101" s="184">
        <f t="shared" si="16"/>
        <v>0</v>
      </c>
      <c r="P101" s="185"/>
      <c r="Q101" s="186"/>
      <c r="R101" s="187"/>
      <c r="S101" s="188"/>
      <c r="T101" s="189" t="str">
        <f t="shared" si="13"/>
        <v/>
      </c>
      <c r="U101" s="190" t="str">
        <f t="shared" si="14"/>
        <v/>
      </c>
      <c r="V101" s="191" t="str">
        <f t="shared" si="15"/>
        <v/>
      </c>
      <c r="W101" s="263"/>
    </row>
    <row r="102" spans="2:23" ht="12.95" hidden="1" customHeight="1" outlineLevel="1">
      <c r="B102" s="806"/>
      <c r="C102" s="196"/>
      <c r="D102" s="177"/>
      <c r="E102" s="195"/>
      <c r="F102" s="423"/>
      <c r="G102" s="180"/>
      <c r="H102" s="181"/>
      <c r="I102" s="361" t="str">
        <f t="shared" si="11"/>
        <v/>
      </c>
      <c r="J102" s="520" t="str">
        <f t="shared" si="12"/>
        <v/>
      </c>
      <c r="K102" s="182"/>
      <c r="L102" s="182"/>
      <c r="M102" s="183"/>
      <c r="N102" s="182"/>
      <c r="O102" s="184">
        <f t="shared" si="16"/>
        <v>0</v>
      </c>
      <c r="P102" s="185"/>
      <c r="Q102" s="186"/>
      <c r="R102" s="187"/>
      <c r="S102" s="188"/>
      <c r="T102" s="189" t="str">
        <f t="shared" si="13"/>
        <v/>
      </c>
      <c r="U102" s="190" t="str">
        <f t="shared" si="14"/>
        <v/>
      </c>
      <c r="V102" s="191" t="str">
        <f t="shared" si="15"/>
        <v/>
      </c>
      <c r="W102" s="263"/>
    </row>
    <row r="103" spans="2:23" ht="12.95" hidden="1" customHeight="1" outlineLevel="1">
      <c r="B103" s="806"/>
      <c r="C103" s="196"/>
      <c r="D103" s="177"/>
      <c r="E103" s="195"/>
      <c r="F103" s="423"/>
      <c r="G103" s="180"/>
      <c r="H103" s="181"/>
      <c r="I103" s="361" t="str">
        <f t="shared" si="11"/>
        <v/>
      </c>
      <c r="J103" s="520" t="str">
        <f t="shared" si="12"/>
        <v/>
      </c>
      <c r="K103" s="182"/>
      <c r="L103" s="182"/>
      <c r="M103" s="183"/>
      <c r="N103" s="182"/>
      <c r="O103" s="184">
        <f t="shared" si="16"/>
        <v>0</v>
      </c>
      <c r="P103" s="185"/>
      <c r="Q103" s="186"/>
      <c r="R103" s="187"/>
      <c r="S103" s="188"/>
      <c r="T103" s="189" t="str">
        <f t="shared" si="13"/>
        <v/>
      </c>
      <c r="U103" s="190" t="str">
        <f t="shared" si="14"/>
        <v/>
      </c>
      <c r="V103" s="191" t="str">
        <f t="shared" si="15"/>
        <v/>
      </c>
      <c r="W103" s="263"/>
    </row>
    <row r="104" spans="2:23" ht="12.95" hidden="1" customHeight="1" outlineLevel="1">
      <c r="B104" s="806"/>
      <c r="C104" s="196"/>
      <c r="D104" s="177"/>
      <c r="E104" s="195"/>
      <c r="F104" s="423"/>
      <c r="G104" s="180"/>
      <c r="H104" s="181"/>
      <c r="I104" s="361" t="str">
        <f t="shared" si="11"/>
        <v/>
      </c>
      <c r="J104" s="520" t="str">
        <f t="shared" si="12"/>
        <v/>
      </c>
      <c r="K104" s="182"/>
      <c r="L104" s="182"/>
      <c r="M104" s="183"/>
      <c r="N104" s="182"/>
      <c r="O104" s="184">
        <f t="shared" si="16"/>
        <v>0</v>
      </c>
      <c r="P104" s="185"/>
      <c r="Q104" s="186"/>
      <c r="R104" s="187"/>
      <c r="S104" s="188"/>
      <c r="T104" s="189" t="str">
        <f t="shared" si="13"/>
        <v/>
      </c>
      <c r="U104" s="190" t="str">
        <f t="shared" si="14"/>
        <v/>
      </c>
      <c r="V104" s="191" t="str">
        <f t="shared" si="15"/>
        <v/>
      </c>
      <c r="W104" s="263"/>
    </row>
    <row r="105" spans="2:23" ht="12.95" hidden="1" customHeight="1" outlineLevel="1">
      <c r="B105" s="806"/>
      <c r="C105" s="196"/>
      <c r="D105" s="177"/>
      <c r="E105" s="195"/>
      <c r="F105" s="423"/>
      <c r="G105" s="180"/>
      <c r="H105" s="181"/>
      <c r="I105" s="361" t="str">
        <f t="shared" si="11"/>
        <v/>
      </c>
      <c r="J105" s="520" t="str">
        <f t="shared" si="12"/>
        <v/>
      </c>
      <c r="K105" s="182"/>
      <c r="L105" s="182"/>
      <c r="M105" s="183"/>
      <c r="N105" s="182"/>
      <c r="O105" s="184">
        <f t="shared" si="16"/>
        <v>0</v>
      </c>
      <c r="P105" s="185"/>
      <c r="Q105" s="186"/>
      <c r="R105" s="187"/>
      <c r="S105" s="188"/>
      <c r="T105" s="189" t="str">
        <f t="shared" si="13"/>
        <v/>
      </c>
      <c r="U105" s="190" t="str">
        <f t="shared" si="14"/>
        <v/>
      </c>
      <c r="V105" s="191" t="str">
        <f t="shared" si="15"/>
        <v/>
      </c>
      <c r="W105" s="263"/>
    </row>
    <row r="106" spans="2:23" ht="12.95" hidden="1" customHeight="1" outlineLevel="1">
      <c r="B106" s="806"/>
      <c r="C106" s="194"/>
      <c r="D106" s="177"/>
      <c r="E106" s="195"/>
      <c r="F106" s="423"/>
      <c r="G106" s="180"/>
      <c r="H106" s="181"/>
      <c r="I106" s="361" t="str">
        <f t="shared" si="11"/>
        <v/>
      </c>
      <c r="J106" s="520" t="str">
        <f t="shared" si="12"/>
        <v/>
      </c>
      <c r="K106" s="182"/>
      <c r="L106" s="182"/>
      <c r="M106" s="183"/>
      <c r="N106" s="182"/>
      <c r="O106" s="184">
        <f t="shared" si="16"/>
        <v>0</v>
      </c>
      <c r="P106" s="185"/>
      <c r="Q106" s="186"/>
      <c r="R106" s="187"/>
      <c r="S106" s="188"/>
      <c r="T106" s="189" t="str">
        <f t="shared" si="13"/>
        <v/>
      </c>
      <c r="U106" s="190" t="str">
        <f t="shared" si="14"/>
        <v/>
      </c>
      <c r="V106" s="191" t="str">
        <f t="shared" si="15"/>
        <v/>
      </c>
      <c r="W106" s="263"/>
    </row>
    <row r="107" spans="2:23" ht="12.95" hidden="1" customHeight="1" outlineLevel="1" thickBot="1">
      <c r="B107" s="806"/>
      <c r="C107" s="266"/>
      <c r="D107" s="236"/>
      <c r="E107" s="237"/>
      <c r="F107" s="424"/>
      <c r="G107" s="238"/>
      <c r="H107" s="239"/>
      <c r="I107" s="362" t="str">
        <f t="shared" si="11"/>
        <v/>
      </c>
      <c r="J107" s="521" t="str">
        <f t="shared" si="12"/>
        <v/>
      </c>
      <c r="K107" s="240"/>
      <c r="L107" s="240"/>
      <c r="M107" s="241"/>
      <c r="N107" s="240"/>
      <c r="O107" s="242">
        <f t="shared" si="16"/>
        <v>0</v>
      </c>
      <c r="P107" s="243"/>
      <c r="Q107" s="244"/>
      <c r="R107" s="245"/>
      <c r="S107" s="246"/>
      <c r="T107" s="247" t="str">
        <f t="shared" si="13"/>
        <v/>
      </c>
      <c r="U107" s="248" t="str">
        <f t="shared" si="14"/>
        <v/>
      </c>
      <c r="V107" s="249" t="str">
        <f t="shared" si="15"/>
        <v/>
      </c>
      <c r="W107" s="250"/>
    </row>
    <row r="108" spans="2:23" ht="12.95" customHeight="1" collapsed="1" thickBot="1">
      <c r="B108" s="807"/>
      <c r="C108" s="334" t="s">
        <v>294</v>
      </c>
      <c r="D108" s="235"/>
      <c r="E108" s="335"/>
      <c r="F108" s="425"/>
      <c r="G108" s="336"/>
      <c r="H108" s="337"/>
      <c r="I108" s="346"/>
      <c r="J108" s="518">
        <f>SUM(J71:J107)</f>
        <v>0</v>
      </c>
      <c r="K108" s="338"/>
      <c r="L108" s="338"/>
      <c r="M108" s="339"/>
      <c r="N108" s="338"/>
      <c r="O108" s="340"/>
      <c r="P108" s="341"/>
      <c r="Q108" s="342"/>
      <c r="R108" s="343"/>
      <c r="S108" s="344"/>
      <c r="T108" s="345"/>
      <c r="U108" s="346"/>
      <c r="V108" s="347"/>
      <c r="W108" s="348"/>
    </row>
    <row r="109" spans="2:23" ht="12.95" customHeight="1">
      <c r="B109" s="805" t="s">
        <v>402</v>
      </c>
      <c r="C109" s="218"/>
      <c r="D109" s="219"/>
      <c r="E109" s="417"/>
      <c r="F109" s="422"/>
      <c r="G109" s="221"/>
      <c r="H109" s="222"/>
      <c r="I109" s="359" t="str">
        <f t="shared" ref="I109:I114" si="17">IF(C109=0,"",D109*1/G109*H109)</f>
        <v/>
      </c>
      <c r="J109" s="519" t="str">
        <f t="shared" ref="J109:J114" si="18">IF(C109=0,"",ROUND(F109*I109,0))</f>
        <v/>
      </c>
      <c r="K109" s="223"/>
      <c r="L109" s="223"/>
      <c r="M109" s="224"/>
      <c r="N109" s="223"/>
      <c r="O109" s="225">
        <f t="shared" ref="O109:O114" si="19">IF(K109*L109*N109=0,0,(L109*N109)/K109)</f>
        <v>0</v>
      </c>
      <c r="P109" s="226"/>
      <c r="Q109" s="227"/>
      <c r="R109" s="228"/>
      <c r="S109" s="229"/>
      <c r="T109" s="230" t="str">
        <f t="shared" ref="T109:V114" si="20">IF(Q109="","",Q109*$D109)</f>
        <v/>
      </c>
      <c r="U109" s="231" t="str">
        <f t="shared" si="20"/>
        <v/>
      </c>
      <c r="V109" s="232" t="str">
        <f t="shared" si="20"/>
        <v/>
      </c>
      <c r="W109" s="233"/>
    </row>
    <row r="110" spans="2:23" ht="12.95" customHeight="1">
      <c r="B110" s="806"/>
      <c r="C110" s="174"/>
      <c r="D110" s="177"/>
      <c r="E110" s="193"/>
      <c r="F110" s="423"/>
      <c r="G110" s="180"/>
      <c r="H110" s="181"/>
      <c r="I110" s="361" t="str">
        <f t="shared" si="17"/>
        <v/>
      </c>
      <c r="J110" s="520" t="str">
        <f t="shared" si="18"/>
        <v/>
      </c>
      <c r="K110" s="182"/>
      <c r="L110" s="182"/>
      <c r="M110" s="183"/>
      <c r="N110" s="182"/>
      <c r="O110" s="184">
        <f t="shared" si="19"/>
        <v>0</v>
      </c>
      <c r="P110" s="185"/>
      <c r="Q110" s="186"/>
      <c r="R110" s="187"/>
      <c r="S110" s="188"/>
      <c r="T110" s="189" t="str">
        <f t="shared" si="20"/>
        <v/>
      </c>
      <c r="U110" s="190" t="str">
        <f t="shared" si="20"/>
        <v/>
      </c>
      <c r="V110" s="191" t="str">
        <f t="shared" si="20"/>
        <v/>
      </c>
      <c r="W110" s="258"/>
    </row>
    <row r="111" spans="2:23" ht="12.95" customHeight="1">
      <c r="B111" s="806"/>
      <c r="C111" s="194"/>
      <c r="D111" s="177"/>
      <c r="E111" s="195"/>
      <c r="F111" s="423"/>
      <c r="G111" s="180"/>
      <c r="H111" s="181"/>
      <c r="I111" s="361" t="str">
        <f t="shared" si="17"/>
        <v/>
      </c>
      <c r="J111" s="520" t="str">
        <f t="shared" si="18"/>
        <v/>
      </c>
      <c r="K111" s="182"/>
      <c r="L111" s="182"/>
      <c r="M111" s="183"/>
      <c r="N111" s="182"/>
      <c r="O111" s="184">
        <f t="shared" si="19"/>
        <v>0</v>
      </c>
      <c r="P111" s="185"/>
      <c r="Q111" s="186"/>
      <c r="R111" s="187"/>
      <c r="S111" s="188"/>
      <c r="T111" s="189" t="str">
        <f t="shared" si="20"/>
        <v/>
      </c>
      <c r="U111" s="190" t="str">
        <f t="shared" si="20"/>
        <v/>
      </c>
      <c r="V111" s="191" t="str">
        <f t="shared" si="20"/>
        <v/>
      </c>
      <c r="W111" s="258"/>
    </row>
    <row r="112" spans="2:23" ht="12.95" customHeight="1">
      <c r="B112" s="806"/>
      <c r="C112" s="194"/>
      <c r="D112" s="177"/>
      <c r="E112" s="195"/>
      <c r="F112" s="423"/>
      <c r="G112" s="180"/>
      <c r="H112" s="181"/>
      <c r="I112" s="361" t="str">
        <f t="shared" si="17"/>
        <v/>
      </c>
      <c r="J112" s="520" t="str">
        <f t="shared" si="18"/>
        <v/>
      </c>
      <c r="K112" s="182"/>
      <c r="L112" s="182"/>
      <c r="M112" s="183"/>
      <c r="N112" s="182"/>
      <c r="O112" s="184">
        <f t="shared" si="19"/>
        <v>0</v>
      </c>
      <c r="P112" s="185"/>
      <c r="Q112" s="186"/>
      <c r="R112" s="187"/>
      <c r="S112" s="188"/>
      <c r="T112" s="189" t="str">
        <f t="shared" si="20"/>
        <v/>
      </c>
      <c r="U112" s="190" t="str">
        <f t="shared" si="20"/>
        <v/>
      </c>
      <c r="V112" s="191" t="str">
        <f t="shared" si="20"/>
        <v/>
      </c>
      <c r="W112" s="258"/>
    </row>
    <row r="113" spans="2:23" ht="12.95" customHeight="1">
      <c r="B113" s="806"/>
      <c r="C113" s="196"/>
      <c r="D113" s="177"/>
      <c r="E113" s="195"/>
      <c r="F113" s="423"/>
      <c r="G113" s="180"/>
      <c r="H113" s="181"/>
      <c r="I113" s="361" t="str">
        <f t="shared" si="17"/>
        <v/>
      </c>
      <c r="J113" s="520" t="str">
        <f t="shared" si="18"/>
        <v/>
      </c>
      <c r="K113" s="182"/>
      <c r="L113" s="182"/>
      <c r="M113" s="183"/>
      <c r="N113" s="182"/>
      <c r="O113" s="184">
        <f t="shared" si="19"/>
        <v>0</v>
      </c>
      <c r="P113" s="185"/>
      <c r="Q113" s="186"/>
      <c r="R113" s="187"/>
      <c r="S113" s="188"/>
      <c r="T113" s="189" t="str">
        <f t="shared" si="20"/>
        <v/>
      </c>
      <c r="U113" s="190" t="str">
        <f t="shared" si="20"/>
        <v/>
      </c>
      <c r="V113" s="191" t="str">
        <f t="shared" si="20"/>
        <v/>
      </c>
      <c r="W113" s="258"/>
    </row>
    <row r="114" spans="2:23" ht="12.95" customHeight="1" thickBot="1">
      <c r="B114" s="806"/>
      <c r="C114" s="264"/>
      <c r="D114" s="236"/>
      <c r="E114" s="257"/>
      <c r="F114" s="424"/>
      <c r="G114" s="238"/>
      <c r="H114" s="239"/>
      <c r="I114" s="362" t="str">
        <f t="shared" si="17"/>
        <v/>
      </c>
      <c r="J114" s="521" t="str">
        <f t="shared" si="18"/>
        <v/>
      </c>
      <c r="K114" s="240"/>
      <c r="L114" s="240"/>
      <c r="M114" s="241"/>
      <c r="N114" s="240"/>
      <c r="O114" s="242">
        <f t="shared" si="19"/>
        <v>0</v>
      </c>
      <c r="P114" s="243"/>
      <c r="Q114" s="244"/>
      <c r="R114" s="245"/>
      <c r="S114" s="246"/>
      <c r="T114" s="247" t="str">
        <f t="shared" si="20"/>
        <v/>
      </c>
      <c r="U114" s="248" t="str">
        <f t="shared" si="20"/>
        <v/>
      </c>
      <c r="V114" s="249" t="str">
        <f t="shared" si="20"/>
        <v/>
      </c>
      <c r="W114" s="250"/>
    </row>
    <row r="115" spans="2:23" ht="12.95" customHeight="1" thickTop="1" thickBot="1">
      <c r="B115" s="807"/>
      <c r="C115" s="334" t="s">
        <v>294</v>
      </c>
      <c r="D115" s="235"/>
      <c r="E115" s="335"/>
      <c r="F115" s="425"/>
      <c r="G115" s="336"/>
      <c r="H115" s="337"/>
      <c r="I115" s="346"/>
      <c r="J115" s="518">
        <f>SUM(J109:J114)</f>
        <v>0</v>
      </c>
      <c r="K115" s="338"/>
      <c r="L115" s="338"/>
      <c r="M115" s="339"/>
      <c r="N115" s="338"/>
      <c r="O115" s="340"/>
      <c r="P115" s="341"/>
      <c r="Q115" s="342"/>
      <c r="R115" s="343"/>
      <c r="S115" s="344"/>
      <c r="T115" s="345"/>
      <c r="U115" s="346"/>
      <c r="V115" s="347"/>
      <c r="W115" s="348"/>
    </row>
    <row r="116" spans="2:23" ht="12.95" customHeight="1">
      <c r="B116" s="808" t="s">
        <v>426</v>
      </c>
      <c r="C116" s="260"/>
      <c r="D116" s="219"/>
      <c r="E116" s="261"/>
      <c r="F116" s="422"/>
      <c r="G116" s="221"/>
      <c r="H116" s="222"/>
      <c r="I116" s="359" t="str">
        <f t="shared" ref="I116:I119" si="21">IF(C116=0,"",D116*1/G116*H116)</f>
        <v/>
      </c>
      <c r="J116" s="519" t="str">
        <f t="shared" ref="J116:J119" si="22">IF(C116=0,"",ROUND(F116*I116,0))</f>
        <v/>
      </c>
      <c r="K116" s="223"/>
      <c r="L116" s="223"/>
      <c r="M116" s="224"/>
      <c r="N116" s="223"/>
      <c r="O116" s="225">
        <f>IF(K116*L116*N116=0,0,(L116*N116)/K116)</f>
        <v>0</v>
      </c>
      <c r="P116" s="226"/>
      <c r="Q116" s="227"/>
      <c r="R116" s="228"/>
      <c r="S116" s="229"/>
      <c r="T116" s="230" t="str">
        <f t="shared" ref="T116:T117" si="23">IF(Q116="","",Q116*$D116)</f>
        <v/>
      </c>
      <c r="U116" s="231" t="str">
        <f t="shared" ref="U116:U117" si="24">IF(R116="","",R116*$D116)</f>
        <v/>
      </c>
      <c r="V116" s="232" t="str">
        <f t="shared" ref="V116:V117" si="25">IF(S116="","",S116*$D116)</f>
        <v/>
      </c>
      <c r="W116" s="233"/>
    </row>
    <row r="117" spans="2:23" ht="12.95" customHeight="1">
      <c r="B117" s="809"/>
      <c r="C117" s="196"/>
      <c r="D117" s="177"/>
      <c r="E117" s="195"/>
      <c r="F117" s="423"/>
      <c r="G117" s="180"/>
      <c r="H117" s="181"/>
      <c r="I117" s="361" t="str">
        <f t="shared" si="21"/>
        <v/>
      </c>
      <c r="J117" s="520" t="str">
        <f t="shared" si="22"/>
        <v/>
      </c>
      <c r="K117" s="182"/>
      <c r="L117" s="182"/>
      <c r="M117" s="183"/>
      <c r="N117" s="182"/>
      <c r="O117" s="184">
        <f>IF(K117*L117*N117=0,0,(L117*N117)/K117)</f>
        <v>0</v>
      </c>
      <c r="P117" s="185"/>
      <c r="Q117" s="186"/>
      <c r="R117" s="187"/>
      <c r="S117" s="188"/>
      <c r="T117" s="189" t="str">
        <f t="shared" si="23"/>
        <v/>
      </c>
      <c r="U117" s="190" t="str">
        <f t="shared" si="24"/>
        <v/>
      </c>
      <c r="V117" s="191" t="str">
        <f t="shared" si="25"/>
        <v/>
      </c>
      <c r="W117" s="258"/>
    </row>
    <row r="118" spans="2:23" ht="12.95" customHeight="1">
      <c r="B118" s="809"/>
      <c r="C118" s="196"/>
      <c r="D118" s="177"/>
      <c r="E118" s="195"/>
      <c r="F118" s="423"/>
      <c r="G118" s="180"/>
      <c r="H118" s="181"/>
      <c r="I118" s="361" t="str">
        <f t="shared" si="21"/>
        <v/>
      </c>
      <c r="J118" s="520" t="str">
        <f t="shared" si="22"/>
        <v/>
      </c>
      <c r="K118" s="182"/>
      <c r="L118" s="182"/>
      <c r="M118" s="183"/>
      <c r="N118" s="182"/>
      <c r="O118" s="184"/>
      <c r="P118" s="185"/>
      <c r="Q118" s="186"/>
      <c r="R118" s="187"/>
      <c r="S118" s="188"/>
      <c r="T118" s="189"/>
      <c r="U118" s="190"/>
      <c r="V118" s="191"/>
      <c r="W118" s="258"/>
    </row>
    <row r="119" spans="2:23" ht="12.95" customHeight="1" thickBot="1">
      <c r="B119" s="809"/>
      <c r="C119" s="264"/>
      <c r="D119" s="236"/>
      <c r="E119" s="257"/>
      <c r="F119" s="424"/>
      <c r="G119" s="238"/>
      <c r="H119" s="239"/>
      <c r="I119" s="362" t="str">
        <f t="shared" si="21"/>
        <v/>
      </c>
      <c r="J119" s="521" t="str">
        <f t="shared" si="22"/>
        <v/>
      </c>
      <c r="K119" s="240"/>
      <c r="L119" s="240"/>
      <c r="M119" s="241"/>
      <c r="N119" s="240"/>
      <c r="O119" s="242">
        <f>IF(K119*L119*N119=0,0,(L119*N119)/K119)</f>
        <v>0</v>
      </c>
      <c r="P119" s="243"/>
      <c r="Q119" s="244"/>
      <c r="R119" s="245"/>
      <c r="S119" s="246"/>
      <c r="T119" s="247" t="str">
        <f>IF(Q119="","",Q119*$D119)</f>
        <v/>
      </c>
      <c r="U119" s="248" t="str">
        <f>IF(R119="","",R119*$D119)</f>
        <v/>
      </c>
      <c r="V119" s="249" t="str">
        <f>IF(S119="","",S119*$D119)</f>
        <v/>
      </c>
      <c r="W119" s="250"/>
    </row>
    <row r="120" spans="2:23" ht="12.95" customHeight="1" thickTop="1" thickBot="1">
      <c r="B120" s="810"/>
      <c r="C120" s="334" t="s">
        <v>294</v>
      </c>
      <c r="D120" s="235"/>
      <c r="E120" s="335"/>
      <c r="F120" s="425"/>
      <c r="G120" s="336"/>
      <c r="H120" s="337"/>
      <c r="I120" s="346"/>
      <c r="J120" s="518">
        <f>SUM(J116:J119)</f>
        <v>0</v>
      </c>
      <c r="K120" s="338"/>
      <c r="L120" s="338"/>
      <c r="M120" s="339"/>
      <c r="N120" s="338"/>
      <c r="O120" s="340"/>
      <c r="P120" s="341"/>
      <c r="Q120" s="342"/>
      <c r="R120" s="343"/>
      <c r="S120" s="344"/>
      <c r="T120" s="345"/>
      <c r="U120" s="346"/>
      <c r="V120" s="347"/>
      <c r="W120" s="348"/>
    </row>
    <row r="121" spans="2:23" ht="12.95" customHeight="1">
      <c r="B121" s="808" t="s">
        <v>428</v>
      </c>
      <c r="C121" s="260" t="s">
        <v>546</v>
      </c>
      <c r="D121" s="219">
        <f>+④収入!B20/60</f>
        <v>5</v>
      </c>
      <c r="E121" s="261" t="s">
        <v>80</v>
      </c>
      <c r="F121" s="422">
        <v>1560</v>
      </c>
      <c r="G121" s="221">
        <v>1</v>
      </c>
      <c r="H121" s="222">
        <v>1</v>
      </c>
      <c r="I121" s="359">
        <f t="shared" ref="I121:I125" si="26">IF(C121=0,"",D121*1/G121*H121)</f>
        <v>5</v>
      </c>
      <c r="J121" s="519">
        <f t="shared" ref="J121:J125" si="27">IF(C121=0,"",ROUND(F121*I121,0))</f>
        <v>7800</v>
      </c>
      <c r="K121" s="223"/>
      <c r="L121" s="223"/>
      <c r="M121" s="224"/>
      <c r="N121" s="223"/>
      <c r="O121" s="225">
        <f>IF(K121*L121*N121=0,0,(L121*N121)/K121)</f>
        <v>0</v>
      </c>
      <c r="P121" s="226"/>
      <c r="Q121" s="227"/>
      <c r="R121" s="228"/>
      <c r="S121" s="229"/>
      <c r="T121" s="230" t="str">
        <f t="shared" ref="T121:V123" si="28">IF(Q121="","",Q121*$D121)</f>
        <v/>
      </c>
      <c r="U121" s="231" t="str">
        <f t="shared" si="28"/>
        <v/>
      </c>
      <c r="V121" s="232" t="str">
        <f t="shared" si="28"/>
        <v/>
      </c>
      <c r="W121" s="233"/>
    </row>
    <row r="122" spans="2:23" ht="12.95" customHeight="1">
      <c r="B122" s="809"/>
      <c r="C122" s="196"/>
      <c r="D122" s="177"/>
      <c r="E122" s="195"/>
      <c r="F122" s="423"/>
      <c r="G122" s="180"/>
      <c r="H122" s="181"/>
      <c r="I122" s="361" t="str">
        <f t="shared" si="26"/>
        <v/>
      </c>
      <c r="J122" s="520" t="str">
        <f t="shared" si="27"/>
        <v/>
      </c>
      <c r="K122" s="182"/>
      <c r="L122" s="182"/>
      <c r="M122" s="183"/>
      <c r="N122" s="182"/>
      <c r="O122" s="184">
        <f>IF(K122*L122*N122=0,0,(L122*N122)/K122)</f>
        <v>0</v>
      </c>
      <c r="P122" s="185"/>
      <c r="Q122" s="186"/>
      <c r="R122" s="187"/>
      <c r="S122" s="188"/>
      <c r="T122" s="189" t="str">
        <f t="shared" si="28"/>
        <v/>
      </c>
      <c r="U122" s="190" t="str">
        <f t="shared" si="28"/>
        <v/>
      </c>
      <c r="V122" s="191" t="str">
        <f t="shared" si="28"/>
        <v/>
      </c>
      <c r="W122" s="258"/>
    </row>
    <row r="123" spans="2:23" ht="12.95" customHeight="1">
      <c r="B123" s="809"/>
      <c r="C123" s="196"/>
      <c r="D123" s="177"/>
      <c r="E123" s="195"/>
      <c r="F123" s="423"/>
      <c r="G123" s="180"/>
      <c r="H123" s="181"/>
      <c r="I123" s="361" t="str">
        <f t="shared" si="26"/>
        <v/>
      </c>
      <c r="J123" s="520" t="str">
        <f t="shared" si="27"/>
        <v/>
      </c>
      <c r="K123" s="182"/>
      <c r="L123" s="182"/>
      <c r="M123" s="183"/>
      <c r="N123" s="182"/>
      <c r="O123" s="184">
        <f>IF(K123*L123*N123=0,0,(L123*N123)/K123)</f>
        <v>0</v>
      </c>
      <c r="P123" s="185"/>
      <c r="Q123" s="186"/>
      <c r="R123" s="187"/>
      <c r="S123" s="188"/>
      <c r="T123" s="189" t="str">
        <f t="shared" si="28"/>
        <v/>
      </c>
      <c r="U123" s="190" t="str">
        <f t="shared" si="28"/>
        <v/>
      </c>
      <c r="V123" s="191" t="str">
        <f t="shared" si="28"/>
        <v/>
      </c>
      <c r="W123" s="258"/>
    </row>
    <row r="124" spans="2:23" ht="12.95" customHeight="1">
      <c r="B124" s="809"/>
      <c r="C124" s="196"/>
      <c r="D124" s="177"/>
      <c r="E124" s="195"/>
      <c r="F124" s="423"/>
      <c r="G124" s="180"/>
      <c r="H124" s="181"/>
      <c r="I124" s="361" t="str">
        <f t="shared" si="26"/>
        <v/>
      </c>
      <c r="J124" s="520" t="str">
        <f t="shared" si="27"/>
        <v/>
      </c>
      <c r="K124" s="182"/>
      <c r="L124" s="182"/>
      <c r="M124" s="183"/>
      <c r="N124" s="182"/>
      <c r="O124" s="184"/>
      <c r="P124" s="185"/>
      <c r="Q124" s="186"/>
      <c r="R124" s="187"/>
      <c r="S124" s="188"/>
      <c r="T124" s="189"/>
      <c r="U124" s="190"/>
      <c r="V124" s="191"/>
      <c r="W124" s="258"/>
    </row>
    <row r="125" spans="2:23" ht="12.95" customHeight="1" thickBot="1">
      <c r="B125" s="809"/>
      <c r="C125" s="264"/>
      <c r="D125" s="236"/>
      <c r="E125" s="257"/>
      <c r="F125" s="424"/>
      <c r="G125" s="238"/>
      <c r="H125" s="239"/>
      <c r="I125" s="362" t="str">
        <f t="shared" si="26"/>
        <v/>
      </c>
      <c r="J125" s="521" t="str">
        <f t="shared" si="27"/>
        <v/>
      </c>
      <c r="K125" s="240"/>
      <c r="L125" s="240"/>
      <c r="M125" s="241"/>
      <c r="N125" s="240"/>
      <c r="O125" s="242">
        <f>IF(K125*L125*N125=0,0,(L125*N125)/K125)</f>
        <v>0</v>
      </c>
      <c r="P125" s="243"/>
      <c r="Q125" s="244"/>
      <c r="R125" s="245"/>
      <c r="S125" s="246"/>
      <c r="T125" s="247" t="str">
        <f>IF(Q125="","",Q125*$D125)</f>
        <v/>
      </c>
      <c r="U125" s="248" t="str">
        <f>IF(R125="","",R125*$D125)</f>
        <v/>
      </c>
      <c r="V125" s="249" t="str">
        <f>IF(S125="","",S125*$D125)</f>
        <v/>
      </c>
      <c r="W125" s="250"/>
    </row>
    <row r="126" spans="2:23" ht="12.95" customHeight="1" thickTop="1" thickBot="1">
      <c r="B126" s="810"/>
      <c r="C126" s="334" t="s">
        <v>294</v>
      </c>
      <c r="D126" s="235"/>
      <c r="E126" s="335"/>
      <c r="F126" s="425"/>
      <c r="G126" s="336"/>
      <c r="H126" s="337"/>
      <c r="I126" s="346"/>
      <c r="J126" s="518">
        <f>SUM(J121:J125)</f>
        <v>7800</v>
      </c>
      <c r="K126" s="338"/>
      <c r="L126" s="338"/>
      <c r="M126" s="339"/>
      <c r="N126" s="338"/>
      <c r="O126" s="340"/>
      <c r="P126" s="341"/>
      <c r="Q126" s="342"/>
      <c r="R126" s="343"/>
      <c r="S126" s="344"/>
      <c r="T126" s="345"/>
      <c r="U126" s="346"/>
      <c r="V126" s="347"/>
      <c r="W126" s="348"/>
    </row>
    <row r="127" spans="2:23" ht="12.95" customHeight="1">
      <c r="B127" s="808" t="s">
        <v>566</v>
      </c>
      <c r="C127" s="260" t="s">
        <v>567</v>
      </c>
      <c r="D127" s="219">
        <f>作業体系表!AN29</f>
        <v>6.6679203686603747</v>
      </c>
      <c r="E127" s="261" t="s">
        <v>128</v>
      </c>
      <c r="F127" s="422">
        <v>962</v>
      </c>
      <c r="G127" s="221">
        <v>1</v>
      </c>
      <c r="H127" s="222">
        <v>1</v>
      </c>
      <c r="I127" s="359">
        <f t="shared" ref="I127:I131" si="29">IF(C127=0,"",D127*1/G127*H127)</f>
        <v>6.6679203686603747</v>
      </c>
      <c r="J127" s="519">
        <f t="shared" ref="J127:J131" si="30">IF(C127=0,"",ROUND(F127*I127,0))</f>
        <v>6415</v>
      </c>
      <c r="K127" s="223"/>
      <c r="L127" s="223"/>
      <c r="M127" s="224"/>
      <c r="N127" s="223"/>
      <c r="O127" s="225">
        <f>IF(K127*L127*N127=0,0,(L127*N127)/K127)</f>
        <v>0</v>
      </c>
      <c r="P127" s="226"/>
      <c r="Q127" s="227"/>
      <c r="R127" s="228"/>
      <c r="S127" s="229"/>
      <c r="T127" s="230" t="str">
        <f t="shared" ref="T127:T129" si="31">IF(Q127="","",Q127*$D127)</f>
        <v/>
      </c>
      <c r="U127" s="231" t="str">
        <f t="shared" ref="U127:U129" si="32">IF(R127="","",R127*$D127)</f>
        <v/>
      </c>
      <c r="V127" s="232" t="str">
        <f t="shared" ref="V127:V129" si="33">IF(S127="","",S127*$D127)</f>
        <v/>
      </c>
      <c r="W127" s="233" t="s">
        <v>579</v>
      </c>
    </row>
    <row r="128" spans="2:23" ht="12.95" customHeight="1">
      <c r="B128" s="809"/>
      <c r="C128" s="196" t="s">
        <v>568</v>
      </c>
      <c r="D128" s="177">
        <f>作業体系表!AN30</f>
        <v>1.7057894213066629</v>
      </c>
      <c r="E128" s="195" t="s">
        <v>128</v>
      </c>
      <c r="F128" s="423">
        <v>753</v>
      </c>
      <c r="G128" s="180">
        <v>1</v>
      </c>
      <c r="H128" s="181">
        <v>1</v>
      </c>
      <c r="I128" s="361">
        <f t="shared" si="29"/>
        <v>1.7057894213066629</v>
      </c>
      <c r="J128" s="520">
        <f t="shared" si="30"/>
        <v>1284</v>
      </c>
      <c r="K128" s="182"/>
      <c r="L128" s="182"/>
      <c r="M128" s="183"/>
      <c r="N128" s="182"/>
      <c r="O128" s="184">
        <f>IF(K128*L128*N128=0,0,(L128*N128)/K128)</f>
        <v>0</v>
      </c>
      <c r="P128" s="185"/>
      <c r="Q128" s="186"/>
      <c r="R128" s="187"/>
      <c r="S128" s="188"/>
      <c r="T128" s="189" t="str">
        <f t="shared" si="31"/>
        <v/>
      </c>
      <c r="U128" s="190" t="str">
        <f t="shared" si="32"/>
        <v/>
      </c>
      <c r="V128" s="191" t="str">
        <f t="shared" si="33"/>
        <v/>
      </c>
      <c r="W128" s="258" t="s">
        <v>592</v>
      </c>
    </row>
    <row r="129" spans="2:23" ht="12.95" customHeight="1">
      <c r="B129" s="809"/>
      <c r="C129" s="196"/>
      <c r="D129" s="177"/>
      <c r="E129" s="195"/>
      <c r="F129" s="423"/>
      <c r="G129" s="180"/>
      <c r="H129" s="181"/>
      <c r="I129" s="361" t="str">
        <f t="shared" si="29"/>
        <v/>
      </c>
      <c r="J129" s="520" t="str">
        <f t="shared" si="30"/>
        <v/>
      </c>
      <c r="K129" s="182"/>
      <c r="L129" s="182"/>
      <c r="M129" s="183"/>
      <c r="N129" s="182"/>
      <c r="O129" s="184">
        <f>IF(K129*L129*N129=0,0,(L129*N129)/K129)</f>
        <v>0</v>
      </c>
      <c r="P129" s="185"/>
      <c r="Q129" s="186"/>
      <c r="R129" s="187"/>
      <c r="S129" s="188"/>
      <c r="T129" s="189" t="str">
        <f t="shared" si="31"/>
        <v/>
      </c>
      <c r="U129" s="190" t="str">
        <f t="shared" si="32"/>
        <v/>
      </c>
      <c r="V129" s="191" t="str">
        <f t="shared" si="33"/>
        <v/>
      </c>
      <c r="W129" s="258"/>
    </row>
    <row r="130" spans="2:23" ht="12.95" customHeight="1">
      <c r="B130" s="809"/>
      <c r="C130" s="196"/>
      <c r="D130" s="177"/>
      <c r="E130" s="195"/>
      <c r="F130" s="423"/>
      <c r="G130" s="180"/>
      <c r="H130" s="181"/>
      <c r="I130" s="361" t="str">
        <f t="shared" si="29"/>
        <v/>
      </c>
      <c r="J130" s="520" t="str">
        <f t="shared" si="30"/>
        <v/>
      </c>
      <c r="K130" s="182"/>
      <c r="L130" s="182"/>
      <c r="M130" s="183"/>
      <c r="N130" s="182"/>
      <c r="O130" s="184"/>
      <c r="P130" s="185"/>
      <c r="Q130" s="186"/>
      <c r="R130" s="187"/>
      <c r="S130" s="188"/>
      <c r="T130" s="189"/>
      <c r="U130" s="190"/>
      <c r="V130" s="191"/>
      <c r="W130" s="258"/>
    </row>
    <row r="131" spans="2:23" ht="12.95" customHeight="1" thickBot="1">
      <c r="B131" s="809"/>
      <c r="C131" s="264"/>
      <c r="D131" s="236"/>
      <c r="E131" s="257"/>
      <c r="F131" s="424"/>
      <c r="G131" s="238"/>
      <c r="H131" s="239"/>
      <c r="I131" s="362" t="str">
        <f t="shared" si="29"/>
        <v/>
      </c>
      <c r="J131" s="521" t="str">
        <f t="shared" si="30"/>
        <v/>
      </c>
      <c r="K131" s="240"/>
      <c r="L131" s="240"/>
      <c r="M131" s="241"/>
      <c r="N131" s="240"/>
      <c r="O131" s="242">
        <f>IF(K131*L131*N131=0,0,(L131*N131)/K131)</f>
        <v>0</v>
      </c>
      <c r="P131" s="243"/>
      <c r="Q131" s="244"/>
      <c r="R131" s="245"/>
      <c r="S131" s="246"/>
      <c r="T131" s="247" t="str">
        <f>IF(Q131="","",Q131*$D131)</f>
        <v/>
      </c>
      <c r="U131" s="248" t="str">
        <f>IF(R131="","",R131*$D131)</f>
        <v/>
      </c>
      <c r="V131" s="249" t="str">
        <f>IF(S131="","",S131*$D131)</f>
        <v/>
      </c>
      <c r="W131" s="250"/>
    </row>
    <row r="132" spans="2:23" ht="12.95" customHeight="1" thickTop="1" thickBot="1">
      <c r="B132" s="810"/>
      <c r="C132" s="334" t="s">
        <v>294</v>
      </c>
      <c r="D132" s="235"/>
      <c r="E132" s="335"/>
      <c r="F132" s="425"/>
      <c r="G132" s="336"/>
      <c r="H132" s="337"/>
      <c r="I132" s="346"/>
      <c r="J132" s="518">
        <f>SUM(J127:J131)</f>
        <v>7699</v>
      </c>
      <c r="K132" s="338"/>
      <c r="L132" s="338"/>
      <c r="M132" s="339"/>
      <c r="N132" s="338"/>
      <c r="O132" s="340"/>
      <c r="P132" s="341"/>
      <c r="Q132" s="342"/>
      <c r="R132" s="343"/>
      <c r="S132" s="344"/>
      <c r="T132" s="345"/>
      <c r="U132" s="346"/>
      <c r="V132" s="347"/>
      <c r="W132" s="348"/>
    </row>
    <row r="133" spans="2:23" ht="12.95" customHeight="1">
      <c r="B133" s="805" t="s">
        <v>125</v>
      </c>
      <c r="C133" s="365" t="s">
        <v>547</v>
      </c>
      <c r="D133" s="219">
        <v>10</v>
      </c>
      <c r="E133" s="220" t="s">
        <v>100</v>
      </c>
      <c r="F133" s="422">
        <v>80</v>
      </c>
      <c r="G133" s="221">
        <v>1</v>
      </c>
      <c r="H133" s="222">
        <v>1</v>
      </c>
      <c r="I133" s="530">
        <f>IF(D133=0,0,D133*1/G133*H133)</f>
        <v>10</v>
      </c>
      <c r="J133" s="530">
        <f t="shared" ref="J133:J135" si="34">IF(D133=0,0,ROUND(F133*I133,0))</f>
        <v>800</v>
      </c>
      <c r="K133" s="223"/>
      <c r="L133" s="223"/>
      <c r="M133" s="224"/>
      <c r="N133" s="223"/>
      <c r="O133" s="225">
        <v>0</v>
      </c>
      <c r="P133" s="226"/>
      <c r="Q133" s="227"/>
      <c r="R133" s="228"/>
      <c r="S133" s="229"/>
      <c r="T133" s="230" t="s">
        <v>293</v>
      </c>
      <c r="U133" s="231" t="s">
        <v>293</v>
      </c>
      <c r="V133" s="232" t="s">
        <v>293</v>
      </c>
      <c r="W133" s="233"/>
    </row>
    <row r="134" spans="2:23" ht="12.95" customHeight="1">
      <c r="B134" s="806"/>
      <c r="C134" s="366" t="s">
        <v>288</v>
      </c>
      <c r="D134" s="177"/>
      <c r="E134" s="178"/>
      <c r="F134" s="423"/>
      <c r="G134" s="180"/>
      <c r="H134" s="181"/>
      <c r="I134" s="531">
        <f t="shared" ref="I134:I142" si="35">IF(D134=0,0,D134*1/G134*H134)</f>
        <v>0</v>
      </c>
      <c r="J134" s="531">
        <f t="shared" si="34"/>
        <v>0</v>
      </c>
      <c r="K134" s="182"/>
      <c r="L134" s="182"/>
      <c r="M134" s="183"/>
      <c r="N134" s="182"/>
      <c r="O134" s="184">
        <v>0</v>
      </c>
      <c r="P134" s="185"/>
      <c r="Q134" s="186"/>
      <c r="R134" s="187"/>
      <c r="S134" s="188"/>
      <c r="T134" s="189" t="s">
        <v>293</v>
      </c>
      <c r="U134" s="190" t="s">
        <v>293</v>
      </c>
      <c r="V134" s="191" t="s">
        <v>293</v>
      </c>
      <c r="W134" s="258"/>
    </row>
    <row r="135" spans="2:23" ht="12.95" customHeight="1">
      <c r="B135" s="806"/>
      <c r="C135" s="367" t="s">
        <v>155</v>
      </c>
      <c r="D135" s="177"/>
      <c r="E135" s="193"/>
      <c r="F135" s="423"/>
      <c r="G135" s="180"/>
      <c r="H135" s="181"/>
      <c r="I135" s="531">
        <f t="shared" si="35"/>
        <v>0</v>
      </c>
      <c r="J135" s="531">
        <f t="shared" si="34"/>
        <v>0</v>
      </c>
      <c r="K135" s="182"/>
      <c r="L135" s="182"/>
      <c r="M135" s="183"/>
      <c r="N135" s="182"/>
      <c r="O135" s="184">
        <v>0</v>
      </c>
      <c r="P135" s="185"/>
      <c r="Q135" s="186"/>
      <c r="R135" s="187"/>
      <c r="S135" s="188"/>
      <c r="T135" s="189" t="s">
        <v>293</v>
      </c>
      <c r="U135" s="190" t="s">
        <v>293</v>
      </c>
      <c r="V135" s="191" t="s">
        <v>293</v>
      </c>
      <c r="W135" s="258"/>
    </row>
    <row r="136" spans="2:23" ht="12.95" customHeight="1">
      <c r="B136" s="806"/>
      <c r="C136" s="367" t="s">
        <v>289</v>
      </c>
      <c r="D136" s="177">
        <v>13560</v>
      </c>
      <c r="E136" s="193"/>
      <c r="F136" s="526">
        <v>0.41887000000000002</v>
      </c>
      <c r="G136" s="180">
        <v>1</v>
      </c>
      <c r="H136" s="181">
        <v>1</v>
      </c>
      <c r="I136" s="531">
        <f t="shared" si="35"/>
        <v>13560</v>
      </c>
      <c r="J136" s="531">
        <f>IF(D136=0,0,F136*I136)</f>
        <v>5679.8771999999999</v>
      </c>
      <c r="K136" s="182"/>
      <c r="L136" s="182"/>
      <c r="M136" s="183"/>
      <c r="N136" s="182"/>
      <c r="O136" s="184">
        <v>0</v>
      </c>
      <c r="P136" s="185"/>
      <c r="Q136" s="186"/>
      <c r="R136" s="187"/>
      <c r="S136" s="188"/>
      <c r="T136" s="189" t="s">
        <v>293</v>
      </c>
      <c r="U136" s="190" t="s">
        <v>293</v>
      </c>
      <c r="V136" s="191" t="s">
        <v>293</v>
      </c>
      <c r="W136" s="258"/>
    </row>
    <row r="137" spans="2:23" ht="12.95" customHeight="1">
      <c r="B137" s="806"/>
      <c r="C137" s="367" t="s">
        <v>290</v>
      </c>
      <c r="D137" s="177"/>
      <c r="E137" s="193"/>
      <c r="F137" s="526"/>
      <c r="G137" s="180"/>
      <c r="H137" s="181"/>
      <c r="I137" s="531">
        <f t="shared" si="35"/>
        <v>0</v>
      </c>
      <c r="J137" s="531">
        <f>IF(D137=0,0,ROUND(F137*I137,0))</f>
        <v>0</v>
      </c>
      <c r="K137" s="182"/>
      <c r="L137" s="182"/>
      <c r="M137" s="183"/>
      <c r="N137" s="182"/>
      <c r="O137" s="184">
        <v>0</v>
      </c>
      <c r="P137" s="185"/>
      <c r="Q137" s="186"/>
      <c r="R137" s="187"/>
      <c r="S137" s="188"/>
      <c r="T137" s="189" t="s">
        <v>293</v>
      </c>
      <c r="U137" s="190" t="s">
        <v>293</v>
      </c>
      <c r="V137" s="191" t="s">
        <v>293</v>
      </c>
      <c r="W137" s="258"/>
    </row>
    <row r="138" spans="2:23" ht="12.95" customHeight="1">
      <c r="B138" s="806"/>
      <c r="C138" s="367" t="s">
        <v>291</v>
      </c>
      <c r="D138" s="177"/>
      <c r="E138" s="193"/>
      <c r="F138" s="526"/>
      <c r="G138" s="180"/>
      <c r="H138" s="181"/>
      <c r="I138" s="531">
        <f t="shared" si="35"/>
        <v>0</v>
      </c>
      <c r="J138" s="531">
        <f>IF(D138=0,0,ROUND(F138*I138,0))</f>
        <v>0</v>
      </c>
      <c r="K138" s="182"/>
      <c r="L138" s="182"/>
      <c r="M138" s="183"/>
      <c r="N138" s="182"/>
      <c r="O138" s="184">
        <v>0</v>
      </c>
      <c r="P138" s="185"/>
      <c r="Q138" s="186"/>
      <c r="R138" s="187"/>
      <c r="S138" s="188"/>
      <c r="T138" s="189" t="s">
        <v>293</v>
      </c>
      <c r="U138" s="190" t="s">
        <v>293</v>
      </c>
      <c r="V138" s="191" t="s">
        <v>293</v>
      </c>
      <c r="W138" s="258"/>
    </row>
    <row r="139" spans="2:23" ht="12.95" customHeight="1">
      <c r="B139" s="806"/>
      <c r="C139" s="192"/>
      <c r="D139" s="177"/>
      <c r="E139" s="178"/>
      <c r="F139" s="423"/>
      <c r="G139" s="180"/>
      <c r="H139" s="181"/>
      <c r="I139" s="531">
        <f t="shared" si="35"/>
        <v>0</v>
      </c>
      <c r="J139" s="531" t="str">
        <f t="shared" ref="J139:J142" si="36">IF(D139=0,"",ROUND(F139*I139,0))</f>
        <v/>
      </c>
      <c r="K139" s="182"/>
      <c r="L139" s="182"/>
      <c r="M139" s="183"/>
      <c r="N139" s="182"/>
      <c r="O139" s="184">
        <f t="shared" si="16"/>
        <v>0</v>
      </c>
      <c r="P139" s="185"/>
      <c r="Q139" s="186"/>
      <c r="R139" s="187"/>
      <c r="S139" s="188"/>
      <c r="T139" s="189" t="str">
        <f t="shared" ref="T139:V142" si="37">IF(Q139="","",Q139*$D139)</f>
        <v/>
      </c>
      <c r="U139" s="190" t="str">
        <f t="shared" si="37"/>
        <v/>
      </c>
      <c r="V139" s="191" t="str">
        <f t="shared" si="37"/>
        <v/>
      </c>
      <c r="W139" s="258"/>
    </row>
    <row r="140" spans="2:23" ht="12.95" customHeight="1">
      <c r="B140" s="806"/>
      <c r="C140" s="192"/>
      <c r="D140" s="177"/>
      <c r="E140" s="193"/>
      <c r="F140" s="423"/>
      <c r="G140" s="180"/>
      <c r="H140" s="181"/>
      <c r="I140" s="531">
        <f t="shared" si="35"/>
        <v>0</v>
      </c>
      <c r="J140" s="531" t="str">
        <f t="shared" si="36"/>
        <v/>
      </c>
      <c r="K140" s="182"/>
      <c r="L140" s="182"/>
      <c r="M140" s="183"/>
      <c r="N140" s="182"/>
      <c r="O140" s="184">
        <f t="shared" si="16"/>
        <v>0</v>
      </c>
      <c r="P140" s="185"/>
      <c r="Q140" s="186"/>
      <c r="R140" s="187"/>
      <c r="S140" s="188"/>
      <c r="T140" s="189" t="str">
        <f t="shared" si="37"/>
        <v/>
      </c>
      <c r="U140" s="190" t="str">
        <f t="shared" si="37"/>
        <v/>
      </c>
      <c r="V140" s="191" t="str">
        <f t="shared" si="37"/>
        <v/>
      </c>
      <c r="W140" s="258"/>
    </row>
    <row r="141" spans="2:23" ht="12.95" customHeight="1">
      <c r="B141" s="806"/>
      <c r="C141" s="192"/>
      <c r="D141" s="177"/>
      <c r="E141" s="193"/>
      <c r="F141" s="423"/>
      <c r="G141" s="180"/>
      <c r="H141" s="181"/>
      <c r="I141" s="531">
        <f t="shared" si="35"/>
        <v>0</v>
      </c>
      <c r="J141" s="531" t="str">
        <f t="shared" si="36"/>
        <v/>
      </c>
      <c r="K141" s="182"/>
      <c r="L141" s="182"/>
      <c r="M141" s="183"/>
      <c r="N141" s="182"/>
      <c r="O141" s="184">
        <f t="shared" si="16"/>
        <v>0</v>
      </c>
      <c r="P141" s="185"/>
      <c r="Q141" s="186"/>
      <c r="R141" s="187"/>
      <c r="S141" s="188"/>
      <c r="T141" s="189" t="str">
        <f t="shared" si="37"/>
        <v/>
      </c>
      <c r="U141" s="190" t="str">
        <f t="shared" si="37"/>
        <v/>
      </c>
      <c r="V141" s="191" t="str">
        <f t="shared" si="37"/>
        <v/>
      </c>
      <c r="W141" s="258"/>
    </row>
    <row r="142" spans="2:23" ht="12.95" customHeight="1" thickBot="1">
      <c r="B142" s="806"/>
      <c r="C142" s="267"/>
      <c r="D142" s="236"/>
      <c r="E142" s="268"/>
      <c r="F142" s="424"/>
      <c r="G142" s="238"/>
      <c r="H142" s="239"/>
      <c r="I142" s="532">
        <f t="shared" si="35"/>
        <v>0</v>
      </c>
      <c r="J142" s="532" t="str">
        <f t="shared" si="36"/>
        <v/>
      </c>
      <c r="K142" s="240"/>
      <c r="L142" s="240"/>
      <c r="M142" s="241"/>
      <c r="N142" s="240"/>
      <c r="O142" s="242">
        <f t="shared" si="16"/>
        <v>0</v>
      </c>
      <c r="P142" s="243"/>
      <c r="Q142" s="244"/>
      <c r="R142" s="245"/>
      <c r="S142" s="246"/>
      <c r="T142" s="247" t="str">
        <f t="shared" si="37"/>
        <v/>
      </c>
      <c r="U142" s="248" t="str">
        <f t="shared" si="37"/>
        <v/>
      </c>
      <c r="V142" s="249" t="str">
        <f t="shared" si="37"/>
        <v/>
      </c>
      <c r="W142" s="250"/>
    </row>
    <row r="143" spans="2:23" ht="12.95" customHeight="1" thickTop="1" thickBot="1">
      <c r="B143" s="807"/>
      <c r="C143" s="334" t="s">
        <v>294</v>
      </c>
      <c r="D143" s="235"/>
      <c r="E143" s="335"/>
      <c r="F143" s="425"/>
      <c r="G143" s="336"/>
      <c r="H143" s="337"/>
      <c r="I143" s="346"/>
      <c r="J143" s="518">
        <f>SUM(J133:J142)</f>
        <v>6479.8771999999999</v>
      </c>
      <c r="K143" s="338"/>
      <c r="L143" s="338"/>
      <c r="M143" s="339"/>
      <c r="N143" s="338"/>
      <c r="O143" s="340"/>
      <c r="P143" s="341"/>
      <c r="Q143" s="342"/>
      <c r="R143" s="343"/>
      <c r="S143" s="344"/>
      <c r="T143" s="345"/>
      <c r="U143" s="346"/>
      <c r="V143" s="347"/>
      <c r="W143" s="348"/>
    </row>
    <row r="144" spans="2:23" ht="12.95" customHeight="1">
      <c r="B144" s="816" t="s">
        <v>427</v>
      </c>
      <c r="C144" s="260" t="s">
        <v>549</v>
      </c>
      <c r="D144" s="219">
        <v>1</v>
      </c>
      <c r="E144" s="261" t="s">
        <v>110</v>
      </c>
      <c r="F144" s="422">
        <v>9500</v>
      </c>
      <c r="G144" s="221">
        <v>1</v>
      </c>
      <c r="H144" s="222">
        <v>0.5</v>
      </c>
      <c r="I144" s="359">
        <f t="shared" ref="I144:I147" si="38">IF(C144=0,"",D144*1/G144*H144)</f>
        <v>0.5</v>
      </c>
      <c r="J144" s="519">
        <f t="shared" ref="J144:J147" si="39">IF(C144=0,"",ROUND(F144*I144,0))</f>
        <v>4750</v>
      </c>
      <c r="K144" s="223"/>
      <c r="L144" s="223"/>
      <c r="M144" s="224"/>
      <c r="N144" s="223"/>
      <c r="O144" s="225">
        <f>IF(K144*L144*N144=0,0,(L144*N144)/K144)</f>
        <v>0</v>
      </c>
      <c r="P144" s="226"/>
      <c r="Q144" s="227"/>
      <c r="R144" s="228"/>
      <c r="S144" s="229"/>
      <c r="T144" s="230" t="str">
        <f t="shared" ref="T144:T145" si="40">IF(Q144="","",Q144*$D144)</f>
        <v/>
      </c>
      <c r="U144" s="231" t="str">
        <f t="shared" ref="U144:U145" si="41">IF(R144="","",R144*$D144)</f>
        <v/>
      </c>
      <c r="V144" s="232" t="str">
        <f t="shared" ref="V144:V145" si="42">IF(S144="","",S144*$D144)</f>
        <v/>
      </c>
      <c r="W144" s="233"/>
    </row>
    <row r="145" spans="2:23" ht="12.95" customHeight="1">
      <c r="B145" s="806"/>
      <c r="C145" s="196"/>
      <c r="D145" s="177"/>
      <c r="E145" s="195"/>
      <c r="F145" s="423"/>
      <c r="G145" s="180"/>
      <c r="H145" s="181"/>
      <c r="I145" s="361" t="str">
        <f t="shared" si="38"/>
        <v/>
      </c>
      <c r="J145" s="520" t="str">
        <f t="shared" si="39"/>
        <v/>
      </c>
      <c r="K145" s="182"/>
      <c r="L145" s="182"/>
      <c r="M145" s="183"/>
      <c r="N145" s="182"/>
      <c r="O145" s="184">
        <f>IF(K145*L145*N145=0,0,(L145*N145)/K145)</f>
        <v>0</v>
      </c>
      <c r="P145" s="185"/>
      <c r="Q145" s="186"/>
      <c r="R145" s="187"/>
      <c r="S145" s="188"/>
      <c r="T145" s="189" t="str">
        <f t="shared" si="40"/>
        <v/>
      </c>
      <c r="U145" s="190" t="str">
        <f t="shared" si="41"/>
        <v/>
      </c>
      <c r="V145" s="191" t="str">
        <f t="shared" si="42"/>
        <v/>
      </c>
      <c r="W145" s="258"/>
    </row>
    <row r="146" spans="2:23" ht="12.95" customHeight="1">
      <c r="B146" s="806"/>
      <c r="C146" s="196"/>
      <c r="D146" s="177"/>
      <c r="E146" s="195"/>
      <c r="F146" s="423"/>
      <c r="G146" s="180"/>
      <c r="H146" s="181"/>
      <c r="I146" s="361" t="str">
        <f t="shared" si="38"/>
        <v/>
      </c>
      <c r="J146" s="520" t="str">
        <f t="shared" si="39"/>
        <v/>
      </c>
      <c r="K146" s="182"/>
      <c r="L146" s="182"/>
      <c r="M146" s="183"/>
      <c r="N146" s="182"/>
      <c r="O146" s="184"/>
      <c r="P146" s="185"/>
      <c r="Q146" s="186"/>
      <c r="R146" s="187"/>
      <c r="S146" s="188"/>
      <c r="T146" s="189"/>
      <c r="U146" s="190"/>
      <c r="V146" s="191"/>
      <c r="W146" s="258"/>
    </row>
    <row r="147" spans="2:23" ht="12.95" customHeight="1" thickBot="1">
      <c r="B147" s="806"/>
      <c r="C147" s="264"/>
      <c r="D147" s="236"/>
      <c r="E147" s="257"/>
      <c r="F147" s="424"/>
      <c r="G147" s="238"/>
      <c r="H147" s="239"/>
      <c r="I147" s="362" t="str">
        <f t="shared" si="38"/>
        <v/>
      </c>
      <c r="J147" s="521" t="str">
        <f t="shared" si="39"/>
        <v/>
      </c>
      <c r="K147" s="240"/>
      <c r="L147" s="240"/>
      <c r="M147" s="241"/>
      <c r="N147" s="240"/>
      <c r="O147" s="242">
        <f>IF(K147*L147*N147=0,0,(L147*N147)/K147)</f>
        <v>0</v>
      </c>
      <c r="P147" s="243"/>
      <c r="Q147" s="244"/>
      <c r="R147" s="245"/>
      <c r="S147" s="246"/>
      <c r="T147" s="247" t="str">
        <f>IF(Q147="","",Q147*$D147)</f>
        <v/>
      </c>
      <c r="U147" s="248" t="str">
        <f>IF(R147="","",R147*$D147)</f>
        <v/>
      </c>
      <c r="V147" s="249" t="str">
        <f>IF(S147="","",S147*$D147)</f>
        <v/>
      </c>
      <c r="W147" s="250"/>
    </row>
    <row r="148" spans="2:23" ht="12.95" customHeight="1" thickTop="1" thickBot="1">
      <c r="B148" s="807"/>
      <c r="C148" s="334" t="s">
        <v>294</v>
      </c>
      <c r="D148" s="235"/>
      <c r="E148" s="335"/>
      <c r="F148" s="425"/>
      <c r="G148" s="336"/>
      <c r="H148" s="337"/>
      <c r="I148" s="346"/>
      <c r="J148" s="518">
        <f>SUM(J144:J147)</f>
        <v>4750</v>
      </c>
      <c r="K148" s="338"/>
      <c r="L148" s="338"/>
      <c r="M148" s="339"/>
      <c r="N148" s="338"/>
      <c r="O148" s="340"/>
      <c r="P148" s="341"/>
      <c r="Q148" s="342"/>
      <c r="R148" s="343"/>
      <c r="S148" s="344"/>
      <c r="T148" s="345"/>
      <c r="U148" s="346"/>
      <c r="V148" s="347"/>
      <c r="W148" s="348"/>
    </row>
    <row r="149" spans="2:23" ht="12.95" customHeight="1">
      <c r="B149" s="808" t="s">
        <v>430</v>
      </c>
      <c r="C149" s="260" t="s">
        <v>550</v>
      </c>
      <c r="D149" s="219">
        <v>1</v>
      </c>
      <c r="E149" s="261" t="s">
        <v>110</v>
      </c>
      <c r="F149" s="422">
        <v>907</v>
      </c>
      <c r="G149" s="221">
        <v>1</v>
      </c>
      <c r="H149" s="222">
        <v>1</v>
      </c>
      <c r="I149" s="359">
        <f t="shared" ref="I149:I152" si="43">IF(C149=0,"",D149*1/G149*H149)</f>
        <v>1</v>
      </c>
      <c r="J149" s="519">
        <f t="shared" ref="J149:J152" si="44">IF(C149=0,"",ROUND(F149*I149,0))</f>
        <v>907</v>
      </c>
      <c r="K149" s="223"/>
      <c r="L149" s="223"/>
      <c r="M149" s="224"/>
      <c r="N149" s="223"/>
      <c r="O149" s="225">
        <f>IF(K149*L149*N149=0,0,(L149*N149)/K149)</f>
        <v>0</v>
      </c>
      <c r="P149" s="226"/>
      <c r="Q149" s="227"/>
      <c r="R149" s="228"/>
      <c r="S149" s="229"/>
      <c r="T149" s="230" t="str">
        <f t="shared" ref="T149:T150" si="45">IF(Q149="","",Q149*$D149)</f>
        <v/>
      </c>
      <c r="U149" s="231" t="str">
        <f t="shared" ref="U149:U150" si="46">IF(R149="","",R149*$D149)</f>
        <v/>
      </c>
      <c r="V149" s="232" t="str">
        <f t="shared" ref="V149:V150" si="47">IF(S149="","",S149*$D149)</f>
        <v/>
      </c>
      <c r="W149" s="233"/>
    </row>
    <row r="150" spans="2:23" ht="12.95" customHeight="1">
      <c r="B150" s="809"/>
      <c r="C150" s="196"/>
      <c r="D150" s="177"/>
      <c r="E150" s="195"/>
      <c r="F150" s="423"/>
      <c r="G150" s="180"/>
      <c r="H150" s="181"/>
      <c r="I150" s="361" t="str">
        <f t="shared" si="43"/>
        <v/>
      </c>
      <c r="J150" s="520" t="str">
        <f t="shared" si="44"/>
        <v/>
      </c>
      <c r="K150" s="182"/>
      <c r="L150" s="182"/>
      <c r="M150" s="183"/>
      <c r="N150" s="182"/>
      <c r="O150" s="184">
        <f>IF(K150*L150*N150=0,0,(L150*N150)/K150)</f>
        <v>0</v>
      </c>
      <c r="P150" s="185"/>
      <c r="Q150" s="186"/>
      <c r="R150" s="187"/>
      <c r="S150" s="188"/>
      <c r="T150" s="189" t="str">
        <f t="shared" si="45"/>
        <v/>
      </c>
      <c r="U150" s="190" t="str">
        <f t="shared" si="46"/>
        <v/>
      </c>
      <c r="V150" s="191" t="str">
        <f t="shared" si="47"/>
        <v/>
      </c>
      <c r="W150" s="258"/>
    </row>
    <row r="151" spans="2:23" ht="12.95" customHeight="1">
      <c r="B151" s="809"/>
      <c r="C151" s="196"/>
      <c r="D151" s="177"/>
      <c r="E151" s="195"/>
      <c r="F151" s="423"/>
      <c r="G151" s="180"/>
      <c r="H151" s="181"/>
      <c r="I151" s="361" t="str">
        <f t="shared" si="43"/>
        <v/>
      </c>
      <c r="J151" s="520" t="str">
        <f t="shared" si="44"/>
        <v/>
      </c>
      <c r="K151" s="182"/>
      <c r="L151" s="182"/>
      <c r="M151" s="183"/>
      <c r="N151" s="182"/>
      <c r="O151" s="184"/>
      <c r="P151" s="185"/>
      <c r="Q151" s="186"/>
      <c r="R151" s="187"/>
      <c r="S151" s="188"/>
      <c r="T151" s="189"/>
      <c r="U151" s="190"/>
      <c r="V151" s="191"/>
      <c r="W151" s="258"/>
    </row>
    <row r="152" spans="2:23" ht="12.95" customHeight="1" thickBot="1">
      <c r="B152" s="809"/>
      <c r="C152" s="264"/>
      <c r="D152" s="236"/>
      <c r="E152" s="257"/>
      <c r="F152" s="424"/>
      <c r="G152" s="238"/>
      <c r="H152" s="239"/>
      <c r="I152" s="362" t="str">
        <f t="shared" si="43"/>
        <v/>
      </c>
      <c r="J152" s="521" t="str">
        <f t="shared" si="44"/>
        <v/>
      </c>
      <c r="K152" s="240"/>
      <c r="L152" s="240"/>
      <c r="M152" s="241"/>
      <c r="N152" s="240"/>
      <c r="O152" s="242">
        <f>IF(K152*L152*N152=0,0,(L152*N152)/K152)</f>
        <v>0</v>
      </c>
      <c r="P152" s="243"/>
      <c r="Q152" s="244"/>
      <c r="R152" s="245"/>
      <c r="S152" s="246"/>
      <c r="T152" s="247" t="str">
        <f>IF(Q152="","",Q152*$D152)</f>
        <v/>
      </c>
      <c r="U152" s="248" t="str">
        <f>IF(R152="","",R152*$D152)</f>
        <v/>
      </c>
      <c r="V152" s="249" t="str">
        <f>IF(S152="","",S152*$D152)</f>
        <v/>
      </c>
      <c r="W152" s="250"/>
    </row>
    <row r="153" spans="2:23" ht="12.95" customHeight="1" thickTop="1" thickBot="1">
      <c r="B153" s="810"/>
      <c r="C153" s="334" t="s">
        <v>294</v>
      </c>
      <c r="D153" s="235"/>
      <c r="E153" s="335"/>
      <c r="F153" s="425"/>
      <c r="G153" s="336"/>
      <c r="H153" s="337"/>
      <c r="I153" s="346"/>
      <c r="J153" s="518">
        <f>SUM(J149:J152)</f>
        <v>907</v>
      </c>
      <c r="K153" s="338"/>
      <c r="L153" s="338"/>
      <c r="M153" s="339"/>
      <c r="N153" s="338"/>
      <c r="O153" s="340"/>
      <c r="P153" s="341"/>
      <c r="Q153" s="342"/>
      <c r="R153" s="343"/>
      <c r="S153" s="344"/>
      <c r="T153" s="345"/>
      <c r="U153" s="346"/>
      <c r="V153" s="347"/>
      <c r="W153" s="348"/>
    </row>
    <row r="154" spans="2:23" ht="12.95" customHeight="1">
      <c r="B154" s="808" t="s">
        <v>432</v>
      </c>
      <c r="C154" s="260" t="s">
        <v>548</v>
      </c>
      <c r="D154" s="219">
        <v>1</v>
      </c>
      <c r="E154" s="261" t="s">
        <v>110</v>
      </c>
      <c r="F154" s="422">
        <v>1300</v>
      </c>
      <c r="G154" s="221">
        <v>1</v>
      </c>
      <c r="H154" s="222">
        <v>1</v>
      </c>
      <c r="I154" s="359">
        <f t="shared" ref="I154:I157" si="48">IF(C154=0,"",D154*1/G154*H154)</f>
        <v>1</v>
      </c>
      <c r="J154" s="519">
        <f t="shared" ref="J154:J157" si="49">IF(C154=0,"",ROUND(F154*I154,0))</f>
        <v>1300</v>
      </c>
      <c r="K154" s="223"/>
      <c r="L154" s="223"/>
      <c r="M154" s="224"/>
      <c r="N154" s="223"/>
      <c r="O154" s="225">
        <f>IF(K154*L154*N154=0,0,(L154*N154)/K154)</f>
        <v>0</v>
      </c>
      <c r="P154" s="226"/>
      <c r="Q154" s="227"/>
      <c r="R154" s="228"/>
      <c r="S154" s="229"/>
      <c r="T154" s="230" t="str">
        <f t="shared" ref="T154:T155" si="50">IF(Q154="","",Q154*$D154)</f>
        <v/>
      </c>
      <c r="U154" s="231" t="str">
        <f t="shared" ref="U154:U155" si="51">IF(R154="","",R154*$D154)</f>
        <v/>
      </c>
      <c r="V154" s="232" t="str">
        <f t="shared" ref="V154:V155" si="52">IF(S154="","",S154*$D154)</f>
        <v/>
      </c>
      <c r="W154" s="233"/>
    </row>
    <row r="155" spans="2:23" ht="12.95" customHeight="1">
      <c r="B155" s="809"/>
      <c r="C155" s="196"/>
      <c r="D155" s="177"/>
      <c r="E155" s="195"/>
      <c r="F155" s="423"/>
      <c r="G155" s="180"/>
      <c r="H155" s="181"/>
      <c r="I155" s="361" t="str">
        <f t="shared" si="48"/>
        <v/>
      </c>
      <c r="J155" s="520" t="str">
        <f t="shared" si="49"/>
        <v/>
      </c>
      <c r="K155" s="182"/>
      <c r="L155" s="182"/>
      <c r="M155" s="183"/>
      <c r="N155" s="182"/>
      <c r="O155" s="184">
        <f>IF(K155*L155*N155=0,0,(L155*N155)/K155)</f>
        <v>0</v>
      </c>
      <c r="P155" s="185"/>
      <c r="Q155" s="186"/>
      <c r="R155" s="187"/>
      <c r="S155" s="188"/>
      <c r="T155" s="189" t="str">
        <f t="shared" si="50"/>
        <v/>
      </c>
      <c r="U155" s="190" t="str">
        <f t="shared" si="51"/>
        <v/>
      </c>
      <c r="V155" s="191" t="str">
        <f t="shared" si="52"/>
        <v/>
      </c>
      <c r="W155" s="258"/>
    </row>
    <row r="156" spans="2:23" ht="12.95" customHeight="1">
      <c r="B156" s="809"/>
      <c r="C156" s="196"/>
      <c r="D156" s="177"/>
      <c r="E156" s="195"/>
      <c r="F156" s="423"/>
      <c r="G156" s="180"/>
      <c r="H156" s="181"/>
      <c r="I156" s="361" t="str">
        <f t="shared" si="48"/>
        <v/>
      </c>
      <c r="J156" s="520" t="str">
        <f t="shared" si="49"/>
        <v/>
      </c>
      <c r="K156" s="182"/>
      <c r="L156" s="182"/>
      <c r="M156" s="183"/>
      <c r="N156" s="182"/>
      <c r="O156" s="184"/>
      <c r="P156" s="185"/>
      <c r="Q156" s="186"/>
      <c r="R156" s="187"/>
      <c r="S156" s="188"/>
      <c r="T156" s="189"/>
      <c r="U156" s="190"/>
      <c r="V156" s="191"/>
      <c r="W156" s="258"/>
    </row>
    <row r="157" spans="2:23" ht="12.95" customHeight="1" thickBot="1">
      <c r="B157" s="809"/>
      <c r="C157" s="264"/>
      <c r="D157" s="236"/>
      <c r="E157" s="257"/>
      <c r="F157" s="424"/>
      <c r="G157" s="238"/>
      <c r="H157" s="239"/>
      <c r="I157" s="362" t="str">
        <f t="shared" si="48"/>
        <v/>
      </c>
      <c r="J157" s="521" t="str">
        <f t="shared" si="49"/>
        <v/>
      </c>
      <c r="K157" s="240"/>
      <c r="L157" s="240"/>
      <c r="M157" s="241"/>
      <c r="N157" s="240"/>
      <c r="O157" s="242">
        <f>IF(K157*L157*N157=0,0,(L157*N157)/K157)</f>
        <v>0</v>
      </c>
      <c r="P157" s="243"/>
      <c r="Q157" s="244"/>
      <c r="R157" s="245"/>
      <c r="S157" s="246"/>
      <c r="T157" s="247" t="str">
        <f>IF(Q157="","",Q157*$D157)</f>
        <v/>
      </c>
      <c r="U157" s="248" t="str">
        <f>IF(R157="","",R157*$D157)</f>
        <v/>
      </c>
      <c r="V157" s="249" t="str">
        <f>IF(S157="","",S157*$D157)</f>
        <v/>
      </c>
      <c r="W157" s="250"/>
    </row>
    <row r="158" spans="2:23" ht="12.95" customHeight="1" thickTop="1" thickBot="1">
      <c r="B158" s="810"/>
      <c r="C158" s="334" t="s">
        <v>294</v>
      </c>
      <c r="D158" s="235"/>
      <c r="E158" s="335"/>
      <c r="F158" s="425"/>
      <c r="G158" s="336"/>
      <c r="H158" s="337"/>
      <c r="I158" s="346"/>
      <c r="J158" s="518">
        <f>SUM(J154:J157)</f>
        <v>1300</v>
      </c>
      <c r="K158" s="338"/>
      <c r="L158" s="338"/>
      <c r="M158" s="339"/>
      <c r="N158" s="338"/>
      <c r="O158" s="340"/>
      <c r="P158" s="341"/>
      <c r="Q158" s="342"/>
      <c r="R158" s="343"/>
      <c r="S158" s="344"/>
      <c r="T158" s="345"/>
      <c r="U158" s="346"/>
      <c r="V158" s="347"/>
      <c r="W158" s="348"/>
    </row>
    <row r="159" spans="2:23" ht="12.95" customHeight="1">
      <c r="B159" s="808" t="s">
        <v>434</v>
      </c>
      <c r="C159" s="260"/>
      <c r="D159" s="219"/>
      <c r="E159" s="261"/>
      <c r="F159" s="422"/>
      <c r="G159" s="221"/>
      <c r="H159" s="222"/>
      <c r="I159" s="359" t="str">
        <f t="shared" ref="I159:I162" si="53">IF(C159=0,"",D159*1/G159*H159)</f>
        <v/>
      </c>
      <c r="J159" s="519" t="str">
        <f t="shared" ref="J159:J162" si="54">IF(C159=0,"",ROUND(F159*I159,0))</f>
        <v/>
      </c>
      <c r="K159" s="223"/>
      <c r="L159" s="223"/>
      <c r="M159" s="224"/>
      <c r="N159" s="223"/>
      <c r="O159" s="225">
        <f>IF(K159*L159*N159=0,0,(L159*N159)/K159)</f>
        <v>0</v>
      </c>
      <c r="P159" s="226"/>
      <c r="Q159" s="227"/>
      <c r="R159" s="228"/>
      <c r="S159" s="229"/>
      <c r="T159" s="230" t="str">
        <f t="shared" ref="T159:T160" si="55">IF(Q159="","",Q159*$D159)</f>
        <v/>
      </c>
      <c r="U159" s="231" t="str">
        <f t="shared" ref="U159:U160" si="56">IF(R159="","",R159*$D159)</f>
        <v/>
      </c>
      <c r="V159" s="232" t="str">
        <f t="shared" ref="V159:V160" si="57">IF(S159="","",S159*$D159)</f>
        <v/>
      </c>
      <c r="W159" s="233"/>
    </row>
    <row r="160" spans="2:23" ht="12.95" customHeight="1">
      <c r="B160" s="809"/>
      <c r="C160" s="196"/>
      <c r="D160" s="177"/>
      <c r="E160" s="195"/>
      <c r="F160" s="423"/>
      <c r="G160" s="180"/>
      <c r="H160" s="181"/>
      <c r="I160" s="361" t="str">
        <f t="shared" si="53"/>
        <v/>
      </c>
      <c r="J160" s="520" t="str">
        <f t="shared" si="54"/>
        <v/>
      </c>
      <c r="K160" s="182"/>
      <c r="L160" s="182"/>
      <c r="M160" s="183"/>
      <c r="N160" s="182"/>
      <c r="O160" s="184">
        <f>IF(K160*L160*N160=0,0,(L160*N160)/K160)</f>
        <v>0</v>
      </c>
      <c r="P160" s="185"/>
      <c r="Q160" s="186"/>
      <c r="R160" s="187"/>
      <c r="S160" s="188"/>
      <c r="T160" s="189" t="str">
        <f t="shared" si="55"/>
        <v/>
      </c>
      <c r="U160" s="190" t="str">
        <f t="shared" si="56"/>
        <v/>
      </c>
      <c r="V160" s="191" t="str">
        <f t="shared" si="57"/>
        <v/>
      </c>
      <c r="W160" s="258"/>
    </row>
    <row r="161" spans="2:23" ht="12.95" customHeight="1">
      <c r="B161" s="809"/>
      <c r="C161" s="196"/>
      <c r="D161" s="177"/>
      <c r="E161" s="195"/>
      <c r="F161" s="423"/>
      <c r="G161" s="180"/>
      <c r="H161" s="181"/>
      <c r="I161" s="361" t="str">
        <f t="shared" si="53"/>
        <v/>
      </c>
      <c r="J161" s="520" t="str">
        <f t="shared" si="54"/>
        <v/>
      </c>
      <c r="K161" s="182"/>
      <c r="L161" s="182"/>
      <c r="M161" s="183"/>
      <c r="N161" s="182"/>
      <c r="O161" s="184"/>
      <c r="P161" s="185"/>
      <c r="Q161" s="186"/>
      <c r="R161" s="187"/>
      <c r="S161" s="188"/>
      <c r="T161" s="189"/>
      <c r="U161" s="190"/>
      <c r="V161" s="191"/>
      <c r="W161" s="258"/>
    </row>
    <row r="162" spans="2:23" ht="12.95" customHeight="1" thickBot="1">
      <c r="B162" s="809"/>
      <c r="C162" s="264"/>
      <c r="D162" s="236"/>
      <c r="E162" s="257"/>
      <c r="F162" s="424"/>
      <c r="G162" s="238"/>
      <c r="H162" s="239"/>
      <c r="I162" s="362" t="str">
        <f t="shared" si="53"/>
        <v/>
      </c>
      <c r="J162" s="521" t="str">
        <f t="shared" si="54"/>
        <v/>
      </c>
      <c r="K162" s="240"/>
      <c r="L162" s="240"/>
      <c r="M162" s="241"/>
      <c r="N162" s="240"/>
      <c r="O162" s="242">
        <f>IF(K162*L162*N162=0,0,(L162*N162)/K162)</f>
        <v>0</v>
      </c>
      <c r="P162" s="243"/>
      <c r="Q162" s="244"/>
      <c r="R162" s="245"/>
      <c r="S162" s="246"/>
      <c r="T162" s="247" t="str">
        <f>IF(Q162="","",Q162*$D162)</f>
        <v/>
      </c>
      <c r="U162" s="248" t="str">
        <f>IF(R162="","",R162*$D162)</f>
        <v/>
      </c>
      <c r="V162" s="249" t="str">
        <f>IF(S162="","",S162*$D162)</f>
        <v/>
      </c>
      <c r="W162" s="250"/>
    </row>
    <row r="163" spans="2:23" ht="12.95" customHeight="1" thickTop="1" thickBot="1">
      <c r="B163" s="810"/>
      <c r="C163" s="334" t="s">
        <v>294</v>
      </c>
      <c r="D163" s="235"/>
      <c r="E163" s="335"/>
      <c r="F163" s="425"/>
      <c r="G163" s="336"/>
      <c r="H163" s="337"/>
      <c r="I163" s="346"/>
      <c r="J163" s="518">
        <f>SUM(J159:J162)</f>
        <v>0</v>
      </c>
      <c r="K163" s="338"/>
      <c r="L163" s="338"/>
      <c r="M163" s="339"/>
      <c r="N163" s="338"/>
      <c r="O163" s="340"/>
      <c r="P163" s="341"/>
      <c r="Q163" s="342"/>
      <c r="R163" s="343"/>
      <c r="S163" s="344"/>
      <c r="T163" s="345"/>
      <c r="U163" s="346"/>
      <c r="V163" s="347"/>
      <c r="W163" s="348"/>
    </row>
    <row r="164" spans="2:23" ht="12.95" customHeight="1">
      <c r="B164" s="811" t="s">
        <v>435</v>
      </c>
      <c r="C164" s="251" t="s">
        <v>192</v>
      </c>
      <c r="D164" s="219"/>
      <c r="E164" s="220"/>
      <c r="F164" s="422"/>
      <c r="G164" s="221"/>
      <c r="H164" s="222"/>
      <c r="I164" s="359" t="str">
        <f>IF(D164=0,"",D164*1/G164*H164)</f>
        <v/>
      </c>
      <c r="J164" s="519" t="str">
        <f t="shared" ref="J164:J174" si="58">IF(D164=0,"",ROUND(F164*I164,0))</f>
        <v/>
      </c>
      <c r="K164" s="223"/>
      <c r="L164" s="223"/>
      <c r="M164" s="224"/>
      <c r="N164" s="223"/>
      <c r="O164" s="225"/>
      <c r="P164" s="226"/>
      <c r="Q164" s="227"/>
      <c r="R164" s="228"/>
      <c r="S164" s="229"/>
      <c r="T164" s="230"/>
      <c r="U164" s="231"/>
      <c r="V164" s="232"/>
      <c r="W164" s="233"/>
    </row>
    <row r="165" spans="2:23" ht="12.95" customHeight="1">
      <c r="B165" s="812"/>
      <c r="C165" s="252" t="s">
        <v>124</v>
      </c>
      <c r="D165" s="160"/>
      <c r="E165" s="161"/>
      <c r="F165" s="426"/>
      <c r="G165" s="162"/>
      <c r="H165" s="163"/>
      <c r="I165" s="522" t="str">
        <f t="shared" ref="I165:I174" si="59">IF(D165=0,"",D165*1/G165*H165)</f>
        <v/>
      </c>
      <c r="J165" s="523" t="str">
        <f t="shared" si="58"/>
        <v/>
      </c>
      <c r="K165" s="164"/>
      <c r="L165" s="164"/>
      <c r="M165" s="165"/>
      <c r="N165" s="164"/>
      <c r="O165" s="166"/>
      <c r="P165" s="167"/>
      <c r="Q165" s="168"/>
      <c r="R165" s="169"/>
      <c r="S165" s="170"/>
      <c r="T165" s="171"/>
      <c r="U165" s="172"/>
      <c r="V165" s="173"/>
      <c r="W165" s="234"/>
    </row>
    <row r="166" spans="2:23" ht="12.95" customHeight="1">
      <c r="B166" s="812"/>
      <c r="C166" s="253" t="s">
        <v>193</v>
      </c>
      <c r="D166" s="160"/>
      <c r="E166" s="161"/>
      <c r="F166" s="426"/>
      <c r="G166" s="162"/>
      <c r="H166" s="163"/>
      <c r="I166" s="522" t="str">
        <f t="shared" si="59"/>
        <v/>
      </c>
      <c r="J166" s="523" t="str">
        <f t="shared" si="58"/>
        <v/>
      </c>
      <c r="K166" s="164"/>
      <c r="L166" s="164"/>
      <c r="M166" s="165"/>
      <c r="N166" s="164"/>
      <c r="O166" s="166"/>
      <c r="P166" s="167"/>
      <c r="Q166" s="168"/>
      <c r="R166" s="169"/>
      <c r="S166" s="170"/>
      <c r="T166" s="171"/>
      <c r="U166" s="172"/>
      <c r="V166" s="173"/>
      <c r="W166" s="234"/>
    </row>
    <row r="167" spans="2:23" ht="12.95" customHeight="1">
      <c r="B167" s="812"/>
      <c r="C167" s="254" t="s">
        <v>194</v>
      </c>
      <c r="D167" s="160"/>
      <c r="E167" s="161"/>
      <c r="F167" s="426"/>
      <c r="G167" s="162"/>
      <c r="H167" s="163"/>
      <c r="I167" s="522" t="str">
        <f t="shared" si="59"/>
        <v/>
      </c>
      <c r="J167" s="523" t="str">
        <f t="shared" si="58"/>
        <v/>
      </c>
      <c r="K167" s="164"/>
      <c r="L167" s="164"/>
      <c r="M167" s="165"/>
      <c r="N167" s="164"/>
      <c r="O167" s="166"/>
      <c r="P167" s="167"/>
      <c r="Q167" s="168"/>
      <c r="R167" s="169"/>
      <c r="S167" s="170"/>
      <c r="T167" s="171"/>
      <c r="U167" s="172"/>
      <c r="V167" s="173"/>
      <c r="W167" s="234"/>
    </row>
    <row r="168" spans="2:23" ht="12.95" customHeight="1">
      <c r="B168" s="812"/>
      <c r="C168" s="254"/>
      <c r="D168" s="160"/>
      <c r="E168" s="161"/>
      <c r="F168" s="426"/>
      <c r="G168" s="162"/>
      <c r="H168" s="163"/>
      <c r="I168" s="522" t="str">
        <f t="shared" si="59"/>
        <v/>
      </c>
      <c r="J168" s="523" t="str">
        <f t="shared" si="58"/>
        <v/>
      </c>
      <c r="K168" s="164"/>
      <c r="L168" s="164"/>
      <c r="M168" s="165"/>
      <c r="N168" s="164"/>
      <c r="O168" s="166"/>
      <c r="P168" s="167"/>
      <c r="Q168" s="168"/>
      <c r="R168" s="169"/>
      <c r="S168" s="170"/>
      <c r="T168" s="171"/>
      <c r="U168" s="172"/>
      <c r="V168" s="173"/>
      <c r="W168" s="234"/>
    </row>
    <row r="169" spans="2:23" ht="12.95" customHeight="1">
      <c r="B169" s="812"/>
      <c r="C169" s="254"/>
      <c r="D169" s="160"/>
      <c r="E169" s="161"/>
      <c r="F169" s="426"/>
      <c r="G169" s="162"/>
      <c r="H169" s="163"/>
      <c r="I169" s="522" t="str">
        <f t="shared" si="59"/>
        <v/>
      </c>
      <c r="J169" s="523" t="str">
        <f t="shared" si="58"/>
        <v/>
      </c>
      <c r="K169" s="164"/>
      <c r="L169" s="164"/>
      <c r="M169" s="165"/>
      <c r="N169" s="164"/>
      <c r="O169" s="166"/>
      <c r="P169" s="167"/>
      <c r="Q169" s="168"/>
      <c r="R169" s="169"/>
      <c r="S169" s="170"/>
      <c r="T169" s="171"/>
      <c r="U169" s="172"/>
      <c r="V169" s="173"/>
      <c r="W169" s="234"/>
    </row>
    <row r="170" spans="2:23" ht="12.95" customHeight="1">
      <c r="B170" s="812"/>
      <c r="C170" s="254"/>
      <c r="D170" s="160"/>
      <c r="E170" s="161"/>
      <c r="F170" s="426"/>
      <c r="G170" s="162"/>
      <c r="H170" s="163"/>
      <c r="I170" s="522" t="str">
        <f t="shared" si="59"/>
        <v/>
      </c>
      <c r="J170" s="523" t="str">
        <f t="shared" si="58"/>
        <v/>
      </c>
      <c r="K170" s="164"/>
      <c r="L170" s="164"/>
      <c r="M170" s="165"/>
      <c r="N170" s="164"/>
      <c r="O170" s="166"/>
      <c r="P170" s="167"/>
      <c r="Q170" s="168"/>
      <c r="R170" s="169"/>
      <c r="S170" s="170"/>
      <c r="T170" s="171"/>
      <c r="U170" s="172"/>
      <c r="V170" s="173"/>
      <c r="W170" s="234"/>
    </row>
    <row r="171" spans="2:23" ht="12.95" customHeight="1">
      <c r="B171" s="812"/>
      <c r="C171" s="254"/>
      <c r="D171" s="160"/>
      <c r="E171" s="161"/>
      <c r="F171" s="426"/>
      <c r="G171" s="162"/>
      <c r="H171" s="163"/>
      <c r="I171" s="522" t="str">
        <f t="shared" si="59"/>
        <v/>
      </c>
      <c r="J171" s="523" t="str">
        <f t="shared" si="58"/>
        <v/>
      </c>
      <c r="K171" s="164"/>
      <c r="L171" s="164"/>
      <c r="M171" s="165"/>
      <c r="N171" s="164"/>
      <c r="O171" s="166"/>
      <c r="P171" s="167"/>
      <c r="Q171" s="168"/>
      <c r="R171" s="169"/>
      <c r="S171" s="170"/>
      <c r="T171" s="171"/>
      <c r="U171" s="172"/>
      <c r="V171" s="173"/>
      <c r="W171" s="234"/>
    </row>
    <row r="172" spans="2:23" ht="12.95" customHeight="1">
      <c r="B172" s="812"/>
      <c r="C172" s="254"/>
      <c r="D172" s="160"/>
      <c r="E172" s="161"/>
      <c r="F172" s="426"/>
      <c r="G172" s="162"/>
      <c r="H172" s="163"/>
      <c r="I172" s="522" t="str">
        <f t="shared" si="59"/>
        <v/>
      </c>
      <c r="J172" s="523" t="str">
        <f t="shared" si="58"/>
        <v/>
      </c>
      <c r="K172" s="164"/>
      <c r="L172" s="164"/>
      <c r="M172" s="165"/>
      <c r="N172" s="164"/>
      <c r="O172" s="166"/>
      <c r="P172" s="167"/>
      <c r="Q172" s="168"/>
      <c r="R172" s="169"/>
      <c r="S172" s="170"/>
      <c r="T172" s="171"/>
      <c r="U172" s="172"/>
      <c r="V172" s="173"/>
      <c r="W172" s="234"/>
    </row>
    <row r="173" spans="2:23" ht="12.95" customHeight="1">
      <c r="B173" s="812"/>
      <c r="C173" s="254"/>
      <c r="D173" s="160"/>
      <c r="E173" s="161"/>
      <c r="F173" s="426"/>
      <c r="G173" s="162"/>
      <c r="H173" s="163"/>
      <c r="I173" s="522" t="str">
        <f t="shared" si="59"/>
        <v/>
      </c>
      <c r="J173" s="523" t="str">
        <f t="shared" si="58"/>
        <v/>
      </c>
      <c r="K173" s="164"/>
      <c r="L173" s="164"/>
      <c r="M173" s="165"/>
      <c r="N173" s="164"/>
      <c r="O173" s="166"/>
      <c r="P173" s="167"/>
      <c r="Q173" s="168"/>
      <c r="R173" s="169"/>
      <c r="S173" s="170"/>
      <c r="T173" s="171"/>
      <c r="U173" s="172"/>
      <c r="V173" s="173"/>
      <c r="W173" s="234"/>
    </row>
    <row r="174" spans="2:23" ht="12.95" customHeight="1" thickBot="1">
      <c r="B174" s="812"/>
      <c r="C174" s="255"/>
      <c r="D174" s="236"/>
      <c r="E174" s="237"/>
      <c r="F174" s="424"/>
      <c r="G174" s="238"/>
      <c r="H174" s="239"/>
      <c r="I174" s="362" t="str">
        <f t="shared" si="59"/>
        <v/>
      </c>
      <c r="J174" s="521" t="str">
        <f t="shared" si="58"/>
        <v/>
      </c>
      <c r="K174" s="240"/>
      <c r="L174" s="240"/>
      <c r="M174" s="241"/>
      <c r="N174" s="240"/>
      <c r="O174" s="242"/>
      <c r="P174" s="243"/>
      <c r="Q174" s="244"/>
      <c r="R174" s="245"/>
      <c r="S174" s="246"/>
      <c r="T174" s="247"/>
      <c r="U174" s="248"/>
      <c r="V174" s="249"/>
      <c r="W174" s="250"/>
    </row>
    <row r="175" spans="2:23" ht="12.95" customHeight="1" thickTop="1" thickBot="1">
      <c r="B175" s="813"/>
      <c r="C175" s="513" t="s">
        <v>294</v>
      </c>
      <c r="D175" s="235"/>
      <c r="E175" s="335"/>
      <c r="F175" s="425"/>
      <c r="G175" s="336"/>
      <c r="H175" s="337"/>
      <c r="I175" s="346"/>
      <c r="J175" s="518">
        <f>SUM(J164:J174)</f>
        <v>0</v>
      </c>
      <c r="K175" s="338"/>
      <c r="L175" s="338"/>
      <c r="M175" s="339"/>
      <c r="N175" s="338"/>
      <c r="O175" s="340"/>
      <c r="P175" s="341"/>
      <c r="Q175" s="342"/>
      <c r="R175" s="343"/>
      <c r="S175" s="344"/>
      <c r="T175" s="514"/>
      <c r="U175" s="346"/>
      <c r="V175" s="347"/>
      <c r="W175" s="348"/>
    </row>
    <row r="176" spans="2:23" ht="13.5" customHeight="1">
      <c r="C176" s="99"/>
      <c r="D176" s="99"/>
      <c r="E176" s="99"/>
      <c r="F176" s="454"/>
      <c r="G176" s="99"/>
      <c r="H176" s="99"/>
      <c r="I176" s="517"/>
      <c r="J176" s="457"/>
      <c r="K176" s="1"/>
      <c r="L176" s="1"/>
      <c r="M176" s="455"/>
      <c r="N176" s="1"/>
      <c r="O176" s="1"/>
      <c r="P176" s="1"/>
      <c r="Q176" s="456"/>
      <c r="R176" s="456"/>
      <c r="S176" s="456"/>
      <c r="T176" s="457"/>
      <c r="U176" s="457"/>
      <c r="V176" s="457"/>
      <c r="W176" s="99"/>
    </row>
    <row r="177" spans="3:23" s="198" customFormat="1">
      <c r="F177" s="458"/>
      <c r="I177" s="462"/>
      <c r="J177" s="462"/>
      <c r="K177" s="459"/>
      <c r="L177" s="459"/>
      <c r="M177" s="460"/>
      <c r="N177" s="459"/>
      <c r="O177" s="459"/>
      <c r="P177" s="459"/>
      <c r="Q177" s="461"/>
      <c r="R177" s="461"/>
      <c r="S177" s="461"/>
      <c r="T177" s="462"/>
      <c r="U177" s="462"/>
      <c r="V177" s="462"/>
    </row>
    <row r="178" spans="3:23" s="198" customFormat="1">
      <c r="F178" s="458"/>
      <c r="I178" s="462"/>
      <c r="J178" s="462"/>
      <c r="K178" s="459"/>
      <c r="L178" s="459"/>
      <c r="M178" s="460"/>
      <c r="N178" s="459"/>
      <c r="O178" s="459"/>
      <c r="P178" s="459"/>
      <c r="Q178" s="461"/>
      <c r="R178" s="461"/>
      <c r="S178" s="461"/>
      <c r="T178" s="462"/>
      <c r="U178" s="462"/>
      <c r="V178" s="462"/>
    </row>
    <row r="179" spans="3:23" s="198" customFormat="1">
      <c r="F179" s="458"/>
      <c r="I179" s="462"/>
      <c r="J179" s="462"/>
      <c r="K179" s="459"/>
      <c r="L179" s="459"/>
      <c r="M179" s="460"/>
      <c r="N179" s="459"/>
      <c r="O179" s="459"/>
      <c r="P179" s="459"/>
      <c r="Q179" s="461"/>
      <c r="R179" s="461"/>
      <c r="S179" s="461"/>
      <c r="T179" s="462"/>
      <c r="U179" s="462"/>
      <c r="V179" s="462"/>
    </row>
    <row r="180" spans="3:23" s="198" customFormat="1">
      <c r="F180" s="458"/>
      <c r="I180" s="462"/>
      <c r="J180" s="462"/>
      <c r="K180" s="459"/>
      <c r="L180" s="459"/>
      <c r="M180" s="460"/>
      <c r="N180" s="459"/>
      <c r="O180" s="459"/>
      <c r="P180" s="459"/>
      <c r="Q180" s="461"/>
      <c r="R180" s="461"/>
      <c r="S180" s="461"/>
      <c r="T180" s="462"/>
      <c r="U180" s="462"/>
      <c r="V180" s="462"/>
    </row>
    <row r="181" spans="3:23" s="198" customFormat="1">
      <c r="F181" s="458"/>
      <c r="I181" s="462"/>
      <c r="J181" s="462"/>
      <c r="K181" s="459"/>
      <c r="L181" s="459"/>
      <c r="M181" s="460"/>
      <c r="N181" s="459"/>
      <c r="O181" s="459"/>
      <c r="P181" s="459"/>
      <c r="Q181" s="461"/>
      <c r="R181" s="461"/>
      <c r="S181" s="461"/>
      <c r="T181" s="462"/>
      <c r="U181" s="462"/>
      <c r="V181" s="462"/>
    </row>
    <row r="182" spans="3:23" s="198" customFormat="1">
      <c r="F182" s="458"/>
      <c r="I182" s="462"/>
      <c r="J182" s="462"/>
      <c r="K182" s="459"/>
      <c r="L182" s="459"/>
      <c r="M182" s="460"/>
      <c r="N182" s="459"/>
      <c r="O182" s="459"/>
      <c r="P182" s="459"/>
      <c r="Q182" s="461"/>
      <c r="R182" s="461"/>
      <c r="S182" s="461"/>
      <c r="T182" s="462"/>
      <c r="U182" s="462"/>
      <c r="V182" s="462"/>
    </row>
    <row r="183" spans="3:23" s="198" customFormat="1">
      <c r="F183" s="458"/>
      <c r="I183" s="462"/>
      <c r="J183" s="462"/>
      <c r="K183" s="459"/>
      <c r="L183" s="459"/>
      <c r="M183" s="460"/>
      <c r="N183" s="459"/>
      <c r="O183" s="459"/>
      <c r="P183" s="459"/>
      <c r="Q183" s="461"/>
      <c r="R183" s="461"/>
      <c r="S183" s="461"/>
      <c r="T183" s="462"/>
      <c r="U183" s="462"/>
      <c r="V183" s="462"/>
    </row>
    <row r="184" spans="3:23" s="198" customFormat="1">
      <c r="F184" s="458"/>
      <c r="I184" s="462" t="s">
        <v>293</v>
      </c>
      <c r="J184" s="462" t="s">
        <v>293</v>
      </c>
      <c r="K184" s="459"/>
      <c r="L184" s="459"/>
      <c r="M184" s="460"/>
      <c r="N184" s="459"/>
      <c r="O184" s="459">
        <v>0</v>
      </c>
      <c r="P184" s="459"/>
      <c r="Q184" s="461"/>
      <c r="R184" s="461"/>
      <c r="S184" s="461"/>
      <c r="T184" s="462" t="s">
        <v>293</v>
      </c>
      <c r="U184" s="462" t="s">
        <v>293</v>
      </c>
      <c r="V184" s="462" t="s">
        <v>293</v>
      </c>
    </row>
    <row r="185" spans="3:23" s="198" customFormat="1">
      <c r="F185" s="458"/>
      <c r="I185" s="462" t="s">
        <v>293</v>
      </c>
      <c r="J185" s="462" t="s">
        <v>293</v>
      </c>
      <c r="K185" s="459"/>
      <c r="L185" s="459"/>
      <c r="M185" s="460"/>
      <c r="N185" s="459"/>
      <c r="O185" s="459">
        <v>0</v>
      </c>
      <c r="P185" s="459"/>
      <c r="Q185" s="461"/>
      <c r="R185" s="461"/>
      <c r="S185" s="461"/>
      <c r="T185" s="462" t="s">
        <v>293</v>
      </c>
      <c r="U185" s="462" t="s">
        <v>293</v>
      </c>
      <c r="V185" s="462" t="s">
        <v>293</v>
      </c>
    </row>
    <row r="186" spans="3:23" s="198" customFormat="1">
      <c r="C186" s="199"/>
      <c r="D186" s="199"/>
      <c r="E186" s="199"/>
      <c r="F186" s="463"/>
      <c r="G186" s="199"/>
      <c r="H186" s="199"/>
      <c r="I186" s="467" t="s">
        <v>293</v>
      </c>
      <c r="J186" s="467" t="s">
        <v>293</v>
      </c>
      <c r="K186" s="464"/>
      <c r="L186" s="464"/>
      <c r="M186" s="465"/>
      <c r="N186" s="464"/>
      <c r="O186" s="464">
        <v>0</v>
      </c>
      <c r="P186" s="464"/>
      <c r="Q186" s="466"/>
      <c r="R186" s="466"/>
      <c r="S186" s="466"/>
      <c r="T186" s="467" t="s">
        <v>293</v>
      </c>
      <c r="U186" s="467" t="s">
        <v>293</v>
      </c>
      <c r="V186" s="467" t="s">
        <v>293</v>
      </c>
      <c r="W186" s="199"/>
    </row>
    <row r="187" spans="3:23" s="198" customFormat="1">
      <c r="C187" s="199"/>
      <c r="D187" s="199"/>
      <c r="E187" s="199"/>
      <c r="F187" s="463"/>
      <c r="G187" s="199"/>
      <c r="H187" s="199"/>
      <c r="I187" s="467" t="s">
        <v>293</v>
      </c>
      <c r="J187" s="467" t="s">
        <v>293</v>
      </c>
      <c r="K187" s="464"/>
      <c r="L187" s="464"/>
      <c r="M187" s="465"/>
      <c r="N187" s="464"/>
      <c r="O187" s="464">
        <v>0</v>
      </c>
      <c r="P187" s="464"/>
      <c r="Q187" s="466"/>
      <c r="R187" s="466"/>
      <c r="S187" s="466"/>
      <c r="T187" s="467" t="s">
        <v>293</v>
      </c>
      <c r="U187" s="467" t="s">
        <v>293</v>
      </c>
      <c r="V187" s="467" t="s">
        <v>293</v>
      </c>
      <c r="W187" s="199"/>
    </row>
    <row r="188" spans="3:23" s="198" customFormat="1">
      <c r="C188" s="199"/>
      <c r="D188" s="199"/>
      <c r="E188" s="199"/>
      <c r="F188" s="463"/>
      <c r="G188" s="199"/>
      <c r="H188" s="199"/>
      <c r="I188" s="467" t="s">
        <v>293</v>
      </c>
      <c r="J188" s="467" t="s">
        <v>293</v>
      </c>
      <c r="K188" s="464"/>
      <c r="L188" s="464"/>
      <c r="M188" s="465"/>
      <c r="N188" s="464"/>
      <c r="O188" s="464">
        <v>0</v>
      </c>
      <c r="P188" s="464"/>
      <c r="Q188" s="466"/>
      <c r="R188" s="466"/>
      <c r="S188" s="466"/>
      <c r="T188" s="467" t="s">
        <v>293</v>
      </c>
      <c r="U188" s="467" t="s">
        <v>293</v>
      </c>
      <c r="V188" s="467" t="s">
        <v>293</v>
      </c>
      <c r="W188" s="199"/>
    </row>
    <row r="189" spans="3:23" s="198" customFormat="1">
      <c r="C189" s="199"/>
      <c r="D189" s="199"/>
      <c r="E189" s="199"/>
      <c r="F189" s="463"/>
      <c r="G189" s="199"/>
      <c r="H189" s="199"/>
      <c r="I189" s="467" t="s">
        <v>293</v>
      </c>
      <c r="J189" s="467" t="s">
        <v>293</v>
      </c>
      <c r="K189" s="464"/>
      <c r="L189" s="464"/>
      <c r="M189" s="465"/>
      <c r="N189" s="464"/>
      <c r="O189" s="464">
        <v>0</v>
      </c>
      <c r="P189" s="464"/>
      <c r="Q189" s="466"/>
      <c r="R189" s="466"/>
      <c r="S189" s="466"/>
      <c r="T189" s="467" t="s">
        <v>293</v>
      </c>
      <c r="U189" s="467" t="s">
        <v>293</v>
      </c>
      <c r="V189" s="467" t="s">
        <v>293</v>
      </c>
      <c r="W189" s="199"/>
    </row>
    <row r="190" spans="3:23" s="198" customFormat="1">
      <c r="C190" s="199"/>
      <c r="D190" s="199"/>
      <c r="E190" s="199"/>
      <c r="F190" s="463"/>
      <c r="G190" s="199"/>
      <c r="H190" s="199"/>
      <c r="I190" s="467" t="s">
        <v>293</v>
      </c>
      <c r="J190" s="467" t="s">
        <v>293</v>
      </c>
      <c r="K190" s="464"/>
      <c r="L190" s="464"/>
      <c r="M190" s="465"/>
      <c r="N190" s="464"/>
      <c r="O190" s="464">
        <v>0</v>
      </c>
      <c r="P190" s="464"/>
      <c r="Q190" s="466"/>
      <c r="R190" s="466"/>
      <c r="S190" s="466"/>
      <c r="T190" s="467" t="s">
        <v>293</v>
      </c>
      <c r="U190" s="467" t="s">
        <v>293</v>
      </c>
      <c r="V190" s="467" t="s">
        <v>293</v>
      </c>
      <c r="W190" s="199"/>
    </row>
    <row r="191" spans="3:23" s="198" customFormat="1">
      <c r="C191" s="199"/>
      <c r="D191" s="199"/>
      <c r="E191" s="199"/>
      <c r="F191" s="463"/>
      <c r="G191" s="199"/>
      <c r="H191" s="199"/>
      <c r="I191" s="467" t="s">
        <v>293</v>
      </c>
      <c r="J191" s="467" t="s">
        <v>293</v>
      </c>
      <c r="K191" s="464"/>
      <c r="L191" s="464"/>
      <c r="M191" s="465"/>
      <c r="N191" s="464"/>
      <c r="O191" s="464">
        <v>0</v>
      </c>
      <c r="P191" s="464"/>
      <c r="Q191" s="466"/>
      <c r="R191" s="466"/>
      <c r="S191" s="466"/>
      <c r="T191" s="467" t="s">
        <v>293</v>
      </c>
      <c r="U191" s="467" t="s">
        <v>293</v>
      </c>
      <c r="V191" s="467" t="s">
        <v>293</v>
      </c>
      <c r="W191" s="199"/>
    </row>
    <row r="192" spans="3:23">
      <c r="I192" s="467" t="s">
        <v>293</v>
      </c>
      <c r="J192" s="467" t="s">
        <v>293</v>
      </c>
      <c r="O192" s="464">
        <v>0</v>
      </c>
      <c r="T192" s="467" t="s">
        <v>293</v>
      </c>
      <c r="U192" s="467" t="s">
        <v>293</v>
      </c>
      <c r="V192" s="467" t="s">
        <v>293</v>
      </c>
    </row>
    <row r="193" spans="9:22">
      <c r="I193" s="467" t="s">
        <v>293</v>
      </c>
      <c r="J193" s="467" t="s">
        <v>293</v>
      </c>
      <c r="O193" s="464">
        <v>0</v>
      </c>
      <c r="T193" s="467" t="s">
        <v>293</v>
      </c>
      <c r="U193" s="467" t="s">
        <v>293</v>
      </c>
      <c r="V193" s="467" t="s">
        <v>293</v>
      </c>
    </row>
    <row r="194" spans="9:22">
      <c r="I194" s="467" t="s">
        <v>293</v>
      </c>
      <c r="J194" s="467" t="s">
        <v>293</v>
      </c>
      <c r="O194" s="464">
        <v>0</v>
      </c>
      <c r="T194" s="467" t="s">
        <v>293</v>
      </c>
      <c r="U194" s="467" t="s">
        <v>293</v>
      </c>
      <c r="V194" s="467" t="s">
        <v>293</v>
      </c>
    </row>
    <row r="195" spans="9:22">
      <c r="I195" s="467" t="s">
        <v>293</v>
      </c>
      <c r="J195" s="467" t="s">
        <v>293</v>
      </c>
      <c r="O195" s="464">
        <v>0</v>
      </c>
      <c r="T195" s="467" t="s">
        <v>293</v>
      </c>
      <c r="U195" s="467" t="s">
        <v>293</v>
      </c>
      <c r="V195" s="467" t="s">
        <v>293</v>
      </c>
    </row>
    <row r="196" spans="9:22">
      <c r="I196" s="467" t="s">
        <v>293</v>
      </c>
      <c r="J196" s="467" t="s">
        <v>293</v>
      </c>
      <c r="O196" s="464">
        <v>0</v>
      </c>
      <c r="T196" s="467" t="s">
        <v>293</v>
      </c>
      <c r="U196" s="467" t="s">
        <v>293</v>
      </c>
      <c r="V196" s="467" t="s">
        <v>293</v>
      </c>
    </row>
    <row r="197" spans="9:22">
      <c r="I197" s="467" t="s">
        <v>293</v>
      </c>
      <c r="J197" s="467" t="s">
        <v>293</v>
      </c>
      <c r="O197" s="464">
        <v>0</v>
      </c>
      <c r="T197" s="467" t="s">
        <v>293</v>
      </c>
      <c r="U197" s="467" t="s">
        <v>293</v>
      </c>
      <c r="V197" s="467" t="s">
        <v>293</v>
      </c>
    </row>
    <row r="198" spans="9:22">
      <c r="I198" s="467" t="s">
        <v>293</v>
      </c>
      <c r="J198" s="467" t="s">
        <v>293</v>
      </c>
      <c r="O198" s="464">
        <v>0</v>
      </c>
      <c r="T198" s="467" t="s">
        <v>293</v>
      </c>
      <c r="U198" s="467" t="s">
        <v>293</v>
      </c>
      <c r="V198" s="467" t="s">
        <v>293</v>
      </c>
    </row>
    <row r="199" spans="9:22">
      <c r="I199" s="467" t="s">
        <v>293</v>
      </c>
      <c r="J199" s="467" t="s">
        <v>293</v>
      </c>
      <c r="O199" s="464">
        <v>0</v>
      </c>
      <c r="T199" s="467" t="s">
        <v>293</v>
      </c>
      <c r="U199" s="467" t="s">
        <v>293</v>
      </c>
      <c r="V199" s="467" t="s">
        <v>293</v>
      </c>
    </row>
    <row r="200" spans="9:22">
      <c r="I200" s="467" t="s">
        <v>293</v>
      </c>
      <c r="J200" s="467" t="s">
        <v>293</v>
      </c>
      <c r="O200" s="464">
        <v>0</v>
      </c>
      <c r="T200" s="467" t="s">
        <v>293</v>
      </c>
      <c r="U200" s="467" t="s">
        <v>293</v>
      </c>
      <c r="V200" s="467" t="s">
        <v>293</v>
      </c>
    </row>
    <row r="201" spans="9:22">
      <c r="I201" s="467" t="s">
        <v>293</v>
      </c>
      <c r="J201" s="467" t="s">
        <v>293</v>
      </c>
      <c r="O201" s="464">
        <v>0</v>
      </c>
      <c r="T201" s="467" t="s">
        <v>293</v>
      </c>
      <c r="U201" s="467" t="s">
        <v>293</v>
      </c>
      <c r="V201" s="467" t="s">
        <v>293</v>
      </c>
    </row>
    <row r="202" spans="9:22">
      <c r="I202" s="467" t="s">
        <v>293</v>
      </c>
      <c r="J202" s="467" t="s">
        <v>293</v>
      </c>
      <c r="O202" s="464">
        <v>0</v>
      </c>
      <c r="T202" s="467" t="s">
        <v>293</v>
      </c>
      <c r="U202" s="467" t="s">
        <v>293</v>
      </c>
      <c r="V202" s="467" t="s">
        <v>293</v>
      </c>
    </row>
    <row r="203" spans="9:22">
      <c r="I203" s="467" t="s">
        <v>293</v>
      </c>
      <c r="J203" s="467" t="s">
        <v>293</v>
      </c>
      <c r="O203" s="464">
        <v>0</v>
      </c>
      <c r="T203" s="467" t="s">
        <v>293</v>
      </c>
      <c r="U203" s="467" t="s">
        <v>293</v>
      </c>
      <c r="V203" s="467" t="s">
        <v>293</v>
      </c>
    </row>
    <row r="204" spans="9:22">
      <c r="I204" s="467" t="s">
        <v>293</v>
      </c>
      <c r="J204" s="467" t="s">
        <v>293</v>
      </c>
      <c r="O204" s="464">
        <v>0</v>
      </c>
      <c r="T204" s="467" t="s">
        <v>293</v>
      </c>
      <c r="U204" s="467" t="s">
        <v>293</v>
      </c>
      <c r="V204" s="467" t="s">
        <v>293</v>
      </c>
    </row>
    <row r="205" spans="9:22">
      <c r="I205" s="467" t="s">
        <v>293</v>
      </c>
      <c r="J205" s="467" t="s">
        <v>293</v>
      </c>
      <c r="O205" s="464">
        <v>0</v>
      </c>
      <c r="T205" s="467" t="s">
        <v>293</v>
      </c>
      <c r="U205" s="467" t="s">
        <v>293</v>
      </c>
      <c r="V205" s="467" t="s">
        <v>293</v>
      </c>
    </row>
    <row r="206" spans="9:22">
      <c r="I206" s="467" t="s">
        <v>293</v>
      </c>
      <c r="J206" s="467" t="s">
        <v>293</v>
      </c>
      <c r="O206" s="464">
        <v>0</v>
      </c>
      <c r="T206" s="467" t="s">
        <v>293</v>
      </c>
      <c r="U206" s="467" t="s">
        <v>293</v>
      </c>
      <c r="V206" s="467" t="s">
        <v>293</v>
      </c>
    </row>
    <row r="207" spans="9:22">
      <c r="I207" s="467" t="s">
        <v>293</v>
      </c>
      <c r="J207" s="467" t="s">
        <v>293</v>
      </c>
      <c r="O207" s="464">
        <v>0</v>
      </c>
      <c r="T207" s="467" t="s">
        <v>293</v>
      </c>
      <c r="U207" s="467" t="s">
        <v>293</v>
      </c>
      <c r="V207" s="467" t="s">
        <v>293</v>
      </c>
    </row>
    <row r="208" spans="9:22">
      <c r="I208" s="467" t="s">
        <v>293</v>
      </c>
      <c r="J208" s="467" t="s">
        <v>293</v>
      </c>
      <c r="O208" s="464">
        <v>0</v>
      </c>
      <c r="T208" s="467" t="s">
        <v>293</v>
      </c>
      <c r="U208" s="467" t="s">
        <v>293</v>
      </c>
      <c r="V208" s="467" t="s">
        <v>293</v>
      </c>
    </row>
    <row r="209" spans="20:22">
      <c r="T209" s="467"/>
      <c r="U209" s="467"/>
      <c r="V209" s="467"/>
    </row>
    <row r="210" spans="20:22">
      <c r="T210" s="467"/>
      <c r="U210" s="467"/>
      <c r="V210" s="467"/>
    </row>
    <row r="211" spans="20:22">
      <c r="T211" s="467"/>
      <c r="U211" s="467"/>
      <c r="V211" s="467"/>
    </row>
    <row r="212" spans="20:22">
      <c r="T212" s="467"/>
      <c r="U212" s="467"/>
      <c r="V212" s="467"/>
    </row>
    <row r="213" spans="20:22">
      <c r="T213" s="467"/>
      <c r="U213" s="467"/>
      <c r="V213" s="467"/>
    </row>
    <row r="214" spans="20:22">
      <c r="T214" s="467"/>
      <c r="U214" s="467"/>
      <c r="V214" s="467"/>
    </row>
    <row r="215" spans="20:22">
      <c r="T215" s="467"/>
      <c r="U215" s="467"/>
      <c r="V215" s="467"/>
    </row>
    <row r="216" spans="20:22">
      <c r="T216" s="467"/>
      <c r="U216" s="467"/>
      <c r="V216" s="467"/>
    </row>
    <row r="217" spans="20:22">
      <c r="T217" s="467"/>
      <c r="U217" s="467"/>
      <c r="V217" s="467"/>
    </row>
    <row r="218" spans="20:22">
      <c r="T218" s="467"/>
      <c r="U218" s="467"/>
      <c r="V218" s="467"/>
    </row>
    <row r="219" spans="20:22">
      <c r="T219" s="467"/>
      <c r="U219" s="467"/>
      <c r="V219" s="467"/>
    </row>
    <row r="220" spans="20:22" hidden="1">
      <c r="T220" s="467"/>
      <c r="U220" s="467"/>
      <c r="V220" s="467"/>
    </row>
    <row r="221" spans="20:22">
      <c r="T221" s="467"/>
      <c r="U221" s="467"/>
      <c r="V221" s="467"/>
    </row>
    <row r="222" spans="20:22">
      <c r="T222" s="467"/>
      <c r="U222" s="467"/>
      <c r="V222" s="467"/>
    </row>
    <row r="223" spans="20:22">
      <c r="T223" s="467"/>
      <c r="U223" s="467"/>
      <c r="V223" s="467"/>
    </row>
    <row r="224" spans="20:22">
      <c r="T224" s="467"/>
      <c r="U224" s="467"/>
      <c r="V224" s="467"/>
    </row>
    <row r="225" spans="20:22">
      <c r="T225" s="467"/>
      <c r="U225" s="467"/>
      <c r="V225" s="467"/>
    </row>
    <row r="226" spans="20:22">
      <c r="T226" s="467"/>
      <c r="U226" s="467"/>
      <c r="V226" s="467"/>
    </row>
    <row r="227" spans="20:22">
      <c r="T227" s="467"/>
      <c r="U227" s="467"/>
      <c r="V227" s="467"/>
    </row>
    <row r="228" spans="20:22">
      <c r="T228" s="467"/>
      <c r="U228" s="467"/>
      <c r="V228" s="467"/>
    </row>
    <row r="229" spans="20:22">
      <c r="T229" s="467"/>
      <c r="U229" s="467"/>
      <c r="V229" s="467"/>
    </row>
    <row r="230" spans="20:22">
      <c r="T230" s="467"/>
      <c r="U230" s="467"/>
      <c r="V230" s="467"/>
    </row>
    <row r="231" spans="20:22">
      <c r="T231" s="467"/>
      <c r="U231" s="467"/>
      <c r="V231" s="467"/>
    </row>
    <row r="232" spans="20:22">
      <c r="T232" s="467"/>
      <c r="U232" s="467"/>
      <c r="V232" s="467"/>
    </row>
    <row r="233" spans="20:22">
      <c r="T233" s="467"/>
      <c r="U233" s="467"/>
      <c r="V233" s="467"/>
    </row>
    <row r="234" spans="20:22">
      <c r="T234" s="467"/>
      <c r="U234" s="467"/>
      <c r="V234" s="467"/>
    </row>
    <row r="235" spans="20:22">
      <c r="T235" s="467"/>
      <c r="U235" s="467"/>
      <c r="V235" s="467"/>
    </row>
    <row r="236" spans="20:22">
      <c r="T236" s="467"/>
      <c r="U236" s="467"/>
      <c r="V236" s="467"/>
    </row>
    <row r="237" spans="20:22">
      <c r="T237" s="467"/>
      <c r="U237" s="467"/>
      <c r="V237" s="467"/>
    </row>
    <row r="238" spans="20:22">
      <c r="T238" s="467"/>
      <c r="U238" s="467"/>
      <c r="V238" s="467"/>
    </row>
    <row r="239" spans="20:22">
      <c r="T239" s="467"/>
      <c r="U239" s="467"/>
      <c r="V239" s="467"/>
    </row>
    <row r="240" spans="20:22">
      <c r="T240" s="467"/>
      <c r="U240" s="467"/>
      <c r="V240" s="467"/>
    </row>
    <row r="241" spans="20:22">
      <c r="T241" s="467"/>
      <c r="U241" s="467"/>
      <c r="V241" s="467"/>
    </row>
    <row r="242" spans="20:22">
      <c r="T242" s="467"/>
      <c r="U242" s="467"/>
      <c r="V242" s="467"/>
    </row>
    <row r="243" spans="20:22">
      <c r="T243" s="467"/>
      <c r="U243" s="467"/>
      <c r="V243" s="467"/>
    </row>
    <row r="244" spans="20:22">
      <c r="T244" s="467"/>
      <c r="U244" s="467"/>
      <c r="V244" s="467"/>
    </row>
    <row r="245" spans="20:22">
      <c r="T245" s="467"/>
      <c r="U245" s="467"/>
      <c r="V245" s="467"/>
    </row>
    <row r="246" spans="20:22">
      <c r="T246" s="467"/>
      <c r="U246" s="467"/>
      <c r="V246" s="467"/>
    </row>
    <row r="247" spans="20:22">
      <c r="T247" s="467"/>
      <c r="U247" s="467"/>
      <c r="V247" s="467"/>
    </row>
    <row r="248" spans="20:22">
      <c r="T248" s="467"/>
      <c r="U248" s="467"/>
      <c r="V248" s="467"/>
    </row>
    <row r="249" spans="20:22">
      <c r="T249" s="467"/>
      <c r="U249" s="467"/>
      <c r="V249" s="467"/>
    </row>
    <row r="250" spans="20:22">
      <c r="T250" s="467"/>
      <c r="U250" s="467"/>
      <c r="V250" s="467"/>
    </row>
    <row r="251" spans="20:22">
      <c r="T251" s="467"/>
      <c r="U251" s="467"/>
      <c r="V251" s="467"/>
    </row>
    <row r="252" spans="20:22">
      <c r="T252" s="467"/>
      <c r="U252" s="467"/>
      <c r="V252" s="467"/>
    </row>
    <row r="253" spans="20:22">
      <c r="T253" s="467"/>
      <c r="U253" s="467"/>
      <c r="V253" s="467"/>
    </row>
    <row r="254" spans="20:22">
      <c r="T254" s="467"/>
      <c r="U254" s="467"/>
      <c r="V254" s="467"/>
    </row>
    <row r="255" spans="20:22">
      <c r="T255" s="467"/>
      <c r="U255" s="467"/>
      <c r="V255" s="467"/>
    </row>
    <row r="256" spans="20:22">
      <c r="T256" s="467"/>
      <c r="U256" s="467"/>
      <c r="V256" s="467"/>
    </row>
    <row r="257" spans="20:22">
      <c r="T257" s="467"/>
      <c r="U257" s="467"/>
      <c r="V257" s="467"/>
    </row>
    <row r="258" spans="20:22">
      <c r="T258" s="467"/>
      <c r="U258" s="467"/>
      <c r="V258" s="467"/>
    </row>
    <row r="259" spans="20:22">
      <c r="T259" s="467"/>
      <c r="U259" s="467"/>
      <c r="V259" s="467"/>
    </row>
    <row r="260" spans="20:22">
      <c r="T260" s="467"/>
      <c r="U260" s="467"/>
      <c r="V260" s="467"/>
    </row>
    <row r="261" spans="20:22">
      <c r="T261" s="467"/>
      <c r="U261" s="467"/>
      <c r="V261" s="467"/>
    </row>
    <row r="262" spans="20:22">
      <c r="T262" s="467"/>
      <c r="U262" s="467"/>
      <c r="V262" s="467"/>
    </row>
    <row r="263" spans="20:22">
      <c r="T263" s="467"/>
      <c r="U263" s="467"/>
      <c r="V263" s="467"/>
    </row>
    <row r="264" spans="20:22">
      <c r="T264" s="467"/>
      <c r="U264" s="467"/>
      <c r="V264" s="467"/>
    </row>
    <row r="265" spans="20:22">
      <c r="T265" s="467"/>
      <c r="U265" s="467"/>
      <c r="V265" s="467"/>
    </row>
    <row r="266" spans="20:22">
      <c r="T266" s="467"/>
      <c r="U266" s="467"/>
      <c r="V266" s="467"/>
    </row>
    <row r="267" spans="20:22">
      <c r="T267" s="467"/>
      <c r="U267" s="467"/>
      <c r="V267" s="467"/>
    </row>
    <row r="268" spans="20:22">
      <c r="T268" s="467"/>
      <c r="U268" s="467"/>
      <c r="V268" s="467"/>
    </row>
    <row r="269" spans="20:22">
      <c r="T269" s="467"/>
      <c r="U269" s="467"/>
      <c r="V269" s="467"/>
    </row>
    <row r="270" spans="20:22">
      <c r="T270" s="467"/>
      <c r="U270" s="467"/>
      <c r="V270" s="467"/>
    </row>
    <row r="271" spans="20:22">
      <c r="T271" s="467"/>
      <c r="U271" s="467"/>
      <c r="V271" s="467"/>
    </row>
    <row r="272" spans="20:22">
      <c r="T272" s="467"/>
      <c r="U272" s="467"/>
      <c r="V272" s="467"/>
    </row>
    <row r="273" spans="20:22">
      <c r="T273" s="467"/>
      <c r="U273" s="467"/>
      <c r="V273" s="467"/>
    </row>
    <row r="274" spans="20:22">
      <c r="T274" s="467"/>
      <c r="U274" s="467"/>
      <c r="V274" s="467"/>
    </row>
    <row r="275" spans="20:22">
      <c r="T275" s="467"/>
      <c r="U275" s="467"/>
      <c r="V275" s="467"/>
    </row>
    <row r="276" spans="20:22">
      <c r="T276" s="467"/>
      <c r="U276" s="467"/>
      <c r="V276" s="467"/>
    </row>
    <row r="277" spans="20:22">
      <c r="T277" s="467"/>
      <c r="U277" s="467"/>
      <c r="V277" s="467"/>
    </row>
    <row r="278" spans="20:22">
      <c r="T278" s="467"/>
      <c r="U278" s="467"/>
      <c r="V278" s="467"/>
    </row>
    <row r="279" spans="20:22">
      <c r="T279" s="467"/>
      <c r="U279" s="467"/>
      <c r="V279" s="467"/>
    </row>
    <row r="280" spans="20:22">
      <c r="T280" s="467"/>
      <c r="U280" s="467"/>
      <c r="V280" s="467"/>
    </row>
    <row r="281" spans="20:22">
      <c r="T281" s="467"/>
      <c r="U281" s="467"/>
      <c r="V281" s="467"/>
    </row>
    <row r="282" spans="20:22">
      <c r="T282" s="467"/>
      <c r="U282" s="467"/>
      <c r="V282" s="467"/>
    </row>
    <row r="283" spans="20:22">
      <c r="T283" s="467"/>
      <c r="U283" s="467"/>
      <c r="V283" s="467"/>
    </row>
    <row r="284" spans="20:22">
      <c r="T284" s="467"/>
      <c r="U284" s="467"/>
      <c r="V284" s="467"/>
    </row>
    <row r="285" spans="20:22">
      <c r="T285" s="467"/>
      <c r="U285" s="467"/>
      <c r="V285" s="467"/>
    </row>
    <row r="286" spans="20:22">
      <c r="T286" s="467"/>
      <c r="U286" s="467"/>
      <c r="V286" s="467"/>
    </row>
    <row r="287" spans="20:22">
      <c r="T287" s="467"/>
      <c r="U287" s="467"/>
      <c r="V287" s="467"/>
    </row>
    <row r="288" spans="20:22">
      <c r="T288" s="467"/>
      <c r="U288" s="467"/>
      <c r="V288" s="467"/>
    </row>
    <row r="289" spans="20:22">
      <c r="T289" s="467"/>
      <c r="U289" s="467"/>
      <c r="V289" s="467"/>
    </row>
    <row r="290" spans="20:22">
      <c r="T290" s="467"/>
      <c r="U290" s="467"/>
      <c r="V290" s="467"/>
    </row>
    <row r="291" spans="20:22">
      <c r="T291" s="467"/>
      <c r="U291" s="467"/>
      <c r="V291" s="467"/>
    </row>
    <row r="292" spans="20:22">
      <c r="T292" s="467"/>
      <c r="U292" s="467"/>
      <c r="V292" s="467"/>
    </row>
    <row r="293" spans="20:22">
      <c r="T293" s="467"/>
      <c r="U293" s="467"/>
      <c r="V293" s="467"/>
    </row>
    <row r="294" spans="20:22">
      <c r="T294" s="467"/>
      <c r="U294" s="467"/>
      <c r="V294" s="467"/>
    </row>
    <row r="295" spans="20:22">
      <c r="T295" s="467"/>
      <c r="U295" s="467"/>
      <c r="V295" s="467"/>
    </row>
    <row r="296" spans="20:22">
      <c r="T296" s="467"/>
      <c r="U296" s="467"/>
      <c r="V296" s="467"/>
    </row>
    <row r="297" spans="20:22">
      <c r="T297" s="467"/>
      <c r="U297" s="467"/>
      <c r="V297" s="467"/>
    </row>
    <row r="298" spans="20:22">
      <c r="T298" s="467"/>
      <c r="U298" s="467"/>
      <c r="V298" s="467"/>
    </row>
    <row r="299" spans="20:22">
      <c r="T299" s="467"/>
      <c r="U299" s="467"/>
      <c r="V299" s="467"/>
    </row>
    <row r="300" spans="20:22">
      <c r="T300" s="467"/>
      <c r="U300" s="467"/>
      <c r="V300" s="467"/>
    </row>
    <row r="301" spans="20:22">
      <c r="T301" s="467"/>
      <c r="U301" s="467"/>
      <c r="V301" s="467"/>
    </row>
    <row r="302" spans="20:22">
      <c r="T302" s="467"/>
      <c r="U302" s="467"/>
      <c r="V302" s="467"/>
    </row>
    <row r="303" spans="20:22">
      <c r="T303" s="467"/>
      <c r="U303" s="467"/>
      <c r="V303" s="467"/>
    </row>
    <row r="304" spans="20:22">
      <c r="T304" s="467"/>
      <c r="U304" s="467"/>
      <c r="V304" s="467"/>
    </row>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sheetData>
  <sheetProtection sheet="1" objects="1" scenarios="1" selectLockedCells="1"/>
  <mergeCells count="16">
    <mergeCell ref="B154:B158"/>
    <mergeCell ref="B159:B163"/>
    <mergeCell ref="B164:B175"/>
    <mergeCell ref="B133:B143"/>
    <mergeCell ref="B9:B20"/>
    <mergeCell ref="B21:B61"/>
    <mergeCell ref="B144:B148"/>
    <mergeCell ref="B149:B153"/>
    <mergeCell ref="B127:B132"/>
    <mergeCell ref="D1:E1"/>
    <mergeCell ref="B3:B8"/>
    <mergeCell ref="B62:B70"/>
    <mergeCell ref="B109:B115"/>
    <mergeCell ref="B121:B126"/>
    <mergeCell ref="B116:B120"/>
    <mergeCell ref="B71:B108"/>
  </mergeCells>
  <phoneticPr fontId="14"/>
  <dataValidations count="2">
    <dataValidation type="list" allowBlank="1" showErrorMessage="1" sqref="E107:E175 P3:P175 M3:M175 E8:E96">
      <formula1>単位</formula1>
      <formula2>0</formula2>
    </dataValidation>
    <dataValidation type="list" allowBlank="1" showInputMessage="1" showErrorMessage="1" sqref="E3:E7">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workbookViewId="0">
      <selection activeCell="G9" sqref="G9"/>
    </sheetView>
  </sheetViews>
  <sheetFormatPr defaultColWidth="10.5" defaultRowHeight="13.5"/>
  <cols>
    <col min="1" max="1" width="16.25" customWidth="1"/>
  </cols>
  <sheetData>
    <row r="1" spans="1:26" s="12" customFormat="1">
      <c r="B1" s="13"/>
      <c r="C1" s="14" t="s">
        <v>112</v>
      </c>
      <c r="D1" s="14" t="s">
        <v>98</v>
      </c>
      <c r="E1" s="14" t="s">
        <v>95</v>
      </c>
      <c r="F1" s="14" t="s">
        <v>101</v>
      </c>
      <c r="G1" s="14" t="s">
        <v>149</v>
      </c>
      <c r="H1" s="14" t="s">
        <v>115</v>
      </c>
      <c r="I1" s="14" t="s">
        <v>150</v>
      </c>
      <c r="J1" s="14" t="s">
        <v>121</v>
      </c>
      <c r="K1" s="14" t="s">
        <v>118</v>
      </c>
      <c r="L1" s="14" t="s">
        <v>127</v>
      </c>
      <c r="M1" s="14" t="s">
        <v>125</v>
      </c>
      <c r="N1" s="14" t="s">
        <v>108</v>
      </c>
      <c r="P1" s="15" t="s">
        <v>196</v>
      </c>
      <c r="Q1" s="15" t="s">
        <v>80</v>
      </c>
      <c r="S1" s="15" t="s">
        <v>197</v>
      </c>
      <c r="U1" s="15" t="s">
        <v>160</v>
      </c>
      <c r="W1" s="15" t="s">
        <v>259</v>
      </c>
      <c r="Y1" s="15" t="s">
        <v>572</v>
      </c>
      <c r="Z1" s="15" t="s">
        <v>578</v>
      </c>
    </row>
    <row r="2" spans="1:26">
      <c r="A2" s="468" t="s">
        <v>112</v>
      </c>
      <c r="B2" s="469">
        <v>1</v>
      </c>
      <c r="C2" s="470" t="s">
        <v>113</v>
      </c>
      <c r="D2" s="470" t="s">
        <v>99</v>
      </c>
      <c r="E2" s="470" t="s">
        <v>166</v>
      </c>
      <c r="F2" s="470" t="s">
        <v>104</v>
      </c>
      <c r="G2" s="470" t="s">
        <v>71</v>
      </c>
      <c r="H2" s="470" t="s">
        <v>179</v>
      </c>
      <c r="I2" s="470" t="s">
        <v>183</v>
      </c>
      <c r="J2" s="470" t="s">
        <v>186</v>
      </c>
      <c r="K2" s="470" t="s">
        <v>119</v>
      </c>
      <c r="L2" s="470" t="s">
        <v>251</v>
      </c>
      <c r="M2" s="470" t="s">
        <v>153</v>
      </c>
      <c r="N2" s="470" t="s">
        <v>157</v>
      </c>
      <c r="P2" s="16" t="s">
        <v>198</v>
      </c>
      <c r="Q2" s="16" t="s">
        <v>114</v>
      </c>
      <c r="S2" t="s">
        <v>71</v>
      </c>
      <c r="U2" t="s">
        <v>190</v>
      </c>
      <c r="W2" s="19" t="s">
        <v>260</v>
      </c>
      <c r="Y2" t="s">
        <v>569</v>
      </c>
      <c r="Z2" t="s">
        <v>574</v>
      </c>
    </row>
    <row r="3" spans="1:26">
      <c r="A3" s="469" t="s">
        <v>98</v>
      </c>
      <c r="B3" s="469">
        <v>2</v>
      </c>
      <c r="C3" s="470" t="s">
        <v>161</v>
      </c>
      <c r="D3" s="470" t="s">
        <v>163</v>
      </c>
      <c r="E3" s="470" t="s">
        <v>96</v>
      </c>
      <c r="F3" s="470" t="s">
        <v>106</v>
      </c>
      <c r="G3" s="470" t="s">
        <v>69</v>
      </c>
      <c r="H3" s="470" t="s">
        <v>180</v>
      </c>
      <c r="I3" s="470" t="s">
        <v>184</v>
      </c>
      <c r="J3" s="470" t="s">
        <v>122</v>
      </c>
      <c r="K3" s="470" t="s">
        <v>187</v>
      </c>
      <c r="L3" s="470" t="s">
        <v>252</v>
      </c>
      <c r="M3" s="470" t="s">
        <v>126</v>
      </c>
      <c r="N3" s="470" t="s">
        <v>123</v>
      </c>
      <c r="P3" s="16" t="s">
        <v>199</v>
      </c>
      <c r="Q3" s="16" t="s">
        <v>200</v>
      </c>
      <c r="S3" t="s">
        <v>69</v>
      </c>
      <c r="U3" t="s">
        <v>165</v>
      </c>
      <c r="W3" s="19" t="s">
        <v>261</v>
      </c>
      <c r="Y3" t="s">
        <v>570</v>
      </c>
      <c r="Z3" t="s">
        <v>576</v>
      </c>
    </row>
    <row r="4" spans="1:26">
      <c r="A4" s="469" t="s">
        <v>95</v>
      </c>
      <c r="B4" s="469">
        <v>3</v>
      </c>
      <c r="C4" s="470" t="s">
        <v>162</v>
      </c>
      <c r="D4" s="470" t="s">
        <v>164</v>
      </c>
      <c r="E4" s="470" t="s">
        <v>97</v>
      </c>
      <c r="F4" s="470" t="s">
        <v>170</v>
      </c>
      <c r="G4" s="470" t="s">
        <v>173</v>
      </c>
      <c r="H4" s="470" t="s">
        <v>181</v>
      </c>
      <c r="I4" s="470" t="s">
        <v>185</v>
      </c>
      <c r="J4" s="470"/>
      <c r="K4" s="470" t="s">
        <v>188</v>
      </c>
      <c r="L4" s="470"/>
      <c r="M4" s="470" t="s">
        <v>154</v>
      </c>
      <c r="N4" s="471" t="s">
        <v>109</v>
      </c>
      <c r="P4" s="16" t="s">
        <v>201</v>
      </c>
      <c r="Q4" s="16" t="s">
        <v>105</v>
      </c>
      <c r="S4" t="s">
        <v>176</v>
      </c>
      <c r="U4" t="s">
        <v>202</v>
      </c>
      <c r="W4" s="19" t="s">
        <v>262</v>
      </c>
      <c r="Y4" t="s">
        <v>571</v>
      </c>
      <c r="Z4" t="s">
        <v>577</v>
      </c>
    </row>
    <row r="5" spans="1:26">
      <c r="A5" s="469" t="s">
        <v>101</v>
      </c>
      <c r="B5" s="469">
        <v>4</v>
      </c>
      <c r="C5" s="470"/>
      <c r="D5" s="470"/>
      <c r="E5" s="470" t="s">
        <v>167</v>
      </c>
      <c r="F5" s="470" t="s">
        <v>171</v>
      </c>
      <c r="G5" s="470" t="s">
        <v>174</v>
      </c>
      <c r="H5" s="470" t="s">
        <v>182</v>
      </c>
      <c r="I5" s="470"/>
      <c r="J5" s="470"/>
      <c r="K5" s="470" t="s">
        <v>189</v>
      </c>
      <c r="L5" s="470"/>
      <c r="M5" s="470" t="s">
        <v>155</v>
      </c>
      <c r="N5" s="470" t="s">
        <v>192</v>
      </c>
      <c r="P5" s="16" t="s">
        <v>203</v>
      </c>
      <c r="Q5" s="16" t="s">
        <v>103</v>
      </c>
      <c r="S5" t="s">
        <v>173</v>
      </c>
      <c r="W5" s="19" t="s">
        <v>263</v>
      </c>
    </row>
    <row r="6" spans="1:26">
      <c r="A6" s="469" t="s">
        <v>115</v>
      </c>
      <c r="B6" s="469">
        <v>5</v>
      </c>
      <c r="C6" s="470"/>
      <c r="D6" s="470"/>
      <c r="E6" s="470" t="s">
        <v>168</v>
      </c>
      <c r="F6" s="470" t="s">
        <v>102</v>
      </c>
      <c r="G6" s="470" t="s">
        <v>178</v>
      </c>
      <c r="H6" s="470" t="s">
        <v>116</v>
      </c>
      <c r="I6" s="470"/>
      <c r="J6" s="470"/>
      <c r="K6" s="470"/>
      <c r="L6" s="470"/>
      <c r="M6" s="470" t="s">
        <v>191</v>
      </c>
      <c r="N6" s="470" t="s">
        <v>124</v>
      </c>
      <c r="P6" s="16" t="s">
        <v>204</v>
      </c>
      <c r="Q6" s="16" t="s">
        <v>205</v>
      </c>
      <c r="S6" t="s">
        <v>174</v>
      </c>
      <c r="W6" s="19" t="s">
        <v>264</v>
      </c>
    </row>
    <row r="7" spans="1:26">
      <c r="A7" s="469" t="s">
        <v>206</v>
      </c>
      <c r="B7" s="469">
        <v>6</v>
      </c>
      <c r="C7" s="470"/>
      <c r="D7" s="470"/>
      <c r="E7" s="470" t="s">
        <v>169</v>
      </c>
      <c r="F7" s="470" t="s">
        <v>172</v>
      </c>
      <c r="G7" s="470" t="s">
        <v>300</v>
      </c>
      <c r="H7" s="472" t="s">
        <v>280</v>
      </c>
      <c r="I7" s="470"/>
      <c r="J7" s="470"/>
      <c r="K7" s="470"/>
      <c r="L7" s="470"/>
      <c r="M7" s="470"/>
      <c r="N7" s="470" t="s">
        <v>193</v>
      </c>
      <c r="P7" s="16" t="s">
        <v>207</v>
      </c>
      <c r="Q7" s="16" t="s">
        <v>208</v>
      </c>
      <c r="S7" t="s">
        <v>175</v>
      </c>
      <c r="W7" s="19" t="s">
        <v>265</v>
      </c>
    </row>
    <row r="8" spans="1:26">
      <c r="A8" s="469" t="s">
        <v>150</v>
      </c>
      <c r="B8" s="469">
        <v>7</v>
      </c>
      <c r="C8" s="470"/>
      <c r="D8" s="470"/>
      <c r="E8" s="470"/>
      <c r="F8" s="470"/>
      <c r="G8" s="470" t="s">
        <v>585</v>
      </c>
      <c r="H8" s="472" t="s">
        <v>279</v>
      </c>
      <c r="I8" s="470"/>
      <c r="J8" s="470"/>
      <c r="K8" s="470"/>
      <c r="L8" s="470"/>
      <c r="M8" s="470"/>
      <c r="N8" s="470" t="s">
        <v>194</v>
      </c>
      <c r="P8" s="16" t="s">
        <v>209</v>
      </c>
      <c r="Q8" s="16" t="s">
        <v>210</v>
      </c>
      <c r="S8" t="s">
        <v>177</v>
      </c>
      <c r="W8" s="19" t="s">
        <v>266</v>
      </c>
    </row>
    <row r="9" spans="1:26">
      <c r="A9" s="469" t="s">
        <v>127</v>
      </c>
      <c r="B9" s="469">
        <v>8</v>
      </c>
      <c r="C9" s="470"/>
      <c r="D9" s="470"/>
      <c r="E9" s="470"/>
      <c r="F9" s="470"/>
      <c r="G9" s="470" t="s">
        <v>586</v>
      </c>
      <c r="H9" s="472" t="s">
        <v>281</v>
      </c>
      <c r="I9" s="470"/>
      <c r="J9" s="470"/>
      <c r="K9" s="470"/>
      <c r="L9" s="470"/>
      <c r="M9" s="470"/>
      <c r="N9" s="470" t="s">
        <v>111</v>
      </c>
      <c r="P9" s="16" t="s">
        <v>211</v>
      </c>
      <c r="Q9" s="16" t="s">
        <v>212</v>
      </c>
      <c r="W9" s="19" t="s">
        <v>268</v>
      </c>
    </row>
    <row r="10" spans="1:26">
      <c r="A10" s="469" t="s">
        <v>118</v>
      </c>
      <c r="B10" s="469">
        <v>9</v>
      </c>
      <c r="C10" s="470"/>
      <c r="D10" s="470"/>
      <c r="E10" s="470"/>
      <c r="F10" s="470"/>
      <c r="G10" s="470" t="s">
        <v>587</v>
      </c>
      <c r="H10" s="472" t="s">
        <v>282</v>
      </c>
      <c r="I10" s="470"/>
      <c r="J10" s="470"/>
      <c r="K10" s="470"/>
      <c r="L10" s="470"/>
      <c r="M10" s="470"/>
      <c r="N10" s="470" t="s">
        <v>195</v>
      </c>
      <c r="P10" s="16" t="s">
        <v>213</v>
      </c>
      <c r="Q10" s="16" t="s">
        <v>214</v>
      </c>
      <c r="W10" s="19" t="s">
        <v>273</v>
      </c>
    </row>
    <row r="11" spans="1:26">
      <c r="A11" s="469" t="s">
        <v>121</v>
      </c>
      <c r="B11" s="469">
        <v>10</v>
      </c>
      <c r="C11" s="470"/>
      <c r="D11" s="470"/>
      <c r="E11" s="470"/>
      <c r="F11" s="470"/>
      <c r="G11" s="470"/>
      <c r="H11" s="472" t="s">
        <v>283</v>
      </c>
      <c r="I11" s="470"/>
      <c r="J11" s="470"/>
      <c r="K11" s="470"/>
      <c r="L11" s="470"/>
      <c r="M11" s="470"/>
      <c r="N11" s="470"/>
      <c r="P11" s="16" t="s">
        <v>215</v>
      </c>
      <c r="Q11" s="16" t="s">
        <v>216</v>
      </c>
      <c r="W11" s="19" t="s">
        <v>272</v>
      </c>
    </row>
    <row r="12" spans="1:26">
      <c r="A12" s="469" t="s">
        <v>217</v>
      </c>
      <c r="B12" s="469">
        <v>11</v>
      </c>
      <c r="C12" s="470"/>
      <c r="D12" s="470"/>
      <c r="E12" s="470"/>
      <c r="F12" s="470"/>
      <c r="G12" s="470"/>
      <c r="H12" s="470"/>
      <c r="I12" s="470"/>
      <c r="J12" s="470"/>
      <c r="K12" s="470"/>
      <c r="L12" s="470"/>
      <c r="M12" s="470"/>
      <c r="N12" s="470"/>
      <c r="P12" s="16" t="s">
        <v>218</v>
      </c>
      <c r="Q12" s="16" t="s">
        <v>117</v>
      </c>
      <c r="W12" s="19" t="s">
        <v>271</v>
      </c>
    </row>
    <row r="13" spans="1:26">
      <c r="A13" s="469" t="s">
        <v>109</v>
      </c>
      <c r="B13" s="469">
        <v>12</v>
      </c>
      <c r="C13" s="470"/>
      <c r="D13" s="470"/>
      <c r="E13" s="470"/>
      <c r="F13" s="470"/>
      <c r="G13" s="470"/>
      <c r="H13" s="470"/>
      <c r="I13" s="470"/>
      <c r="J13" s="470"/>
      <c r="K13" s="470"/>
      <c r="L13" s="470"/>
      <c r="M13" s="470"/>
      <c r="N13" s="470"/>
      <c r="P13" s="16" t="s">
        <v>219</v>
      </c>
      <c r="Q13" s="16" t="s">
        <v>220</v>
      </c>
      <c r="W13" s="19" t="s">
        <v>270</v>
      </c>
    </row>
    <row r="14" spans="1:26">
      <c r="A14" s="469" t="s">
        <v>221</v>
      </c>
      <c r="B14" s="469">
        <v>13</v>
      </c>
      <c r="C14" s="470"/>
      <c r="D14" s="470"/>
      <c r="E14" s="470"/>
      <c r="F14" s="470"/>
      <c r="G14" s="470"/>
      <c r="H14" s="470"/>
      <c r="I14" s="470"/>
      <c r="J14" s="470"/>
      <c r="K14" s="470"/>
      <c r="L14" s="470"/>
      <c r="M14" s="470"/>
      <c r="N14" s="470"/>
      <c r="P14" s="16" t="s">
        <v>222</v>
      </c>
      <c r="Q14" s="16" t="s">
        <v>100</v>
      </c>
      <c r="W14" s="19" t="s">
        <v>269</v>
      </c>
    </row>
    <row r="15" spans="1:26">
      <c r="A15" s="469" t="s">
        <v>223</v>
      </c>
      <c r="B15" s="469">
        <v>14</v>
      </c>
      <c r="C15" s="470"/>
      <c r="D15" s="470"/>
      <c r="E15" s="470"/>
      <c r="F15" s="470"/>
      <c r="G15" s="470"/>
      <c r="H15" s="470"/>
      <c r="I15" s="470"/>
      <c r="J15" s="470"/>
      <c r="K15" s="470"/>
      <c r="L15" s="470"/>
      <c r="M15" s="470"/>
      <c r="N15" s="470"/>
      <c r="P15" s="16" t="s">
        <v>224</v>
      </c>
      <c r="Q15" s="16" t="s">
        <v>225</v>
      </c>
      <c r="W15" s="19" t="s">
        <v>267</v>
      </c>
    </row>
    <row r="16" spans="1:26">
      <c r="A16" s="470"/>
      <c r="B16" s="470"/>
      <c r="C16" s="470"/>
      <c r="D16" s="470"/>
      <c r="E16" s="470"/>
      <c r="F16" s="470"/>
      <c r="G16" s="470"/>
      <c r="H16" s="470"/>
      <c r="I16" s="470"/>
      <c r="J16" s="470"/>
      <c r="K16" s="470"/>
      <c r="L16" s="470"/>
      <c r="M16" s="470"/>
      <c r="N16" s="470"/>
      <c r="P16" s="16" t="s">
        <v>226</v>
      </c>
      <c r="Q16" s="16" t="s">
        <v>227</v>
      </c>
    </row>
    <row r="17" spans="1:17">
      <c r="A17" s="470"/>
      <c r="B17" s="470"/>
      <c r="C17" s="470"/>
      <c r="D17" s="470"/>
      <c r="E17" s="470"/>
      <c r="F17" s="470"/>
      <c r="G17" s="470"/>
      <c r="H17" s="470"/>
      <c r="I17" s="470"/>
      <c r="J17" s="470"/>
      <c r="K17" s="470"/>
      <c r="L17" s="470"/>
      <c r="M17" s="470"/>
      <c r="N17" s="470"/>
      <c r="P17" s="16" t="s">
        <v>228</v>
      </c>
      <c r="Q17" s="16" t="s">
        <v>229</v>
      </c>
    </row>
    <row r="18" spans="1:17">
      <c r="A18" s="470"/>
      <c r="B18" s="470"/>
      <c r="C18" s="470"/>
      <c r="D18" s="470"/>
      <c r="E18" s="470"/>
      <c r="F18" s="470"/>
      <c r="G18" s="470"/>
      <c r="H18" s="470"/>
      <c r="I18" s="470"/>
      <c r="J18" s="470"/>
      <c r="K18" s="470"/>
      <c r="L18" s="470"/>
      <c r="M18" s="470"/>
      <c r="N18" s="470"/>
      <c r="P18" s="16" t="s">
        <v>230</v>
      </c>
      <c r="Q18" s="16" t="s">
        <v>231</v>
      </c>
    </row>
    <row r="19" spans="1:17">
      <c r="A19" s="470"/>
      <c r="B19" s="470"/>
      <c r="C19" s="470"/>
      <c r="D19" s="470"/>
      <c r="E19" s="470"/>
      <c r="F19" s="470"/>
      <c r="G19" s="470"/>
      <c r="H19" s="470"/>
      <c r="I19" s="470"/>
      <c r="J19" s="470"/>
      <c r="K19" s="470"/>
      <c r="L19" s="470"/>
      <c r="M19" s="470"/>
      <c r="N19" s="470"/>
      <c r="P19" s="16" t="s">
        <v>232</v>
      </c>
      <c r="Q19" s="16" t="s">
        <v>159</v>
      </c>
    </row>
    <row r="20" spans="1:17">
      <c r="A20" s="470"/>
      <c r="B20" s="470"/>
      <c r="C20" s="470"/>
      <c r="D20" s="470"/>
      <c r="E20" s="470"/>
      <c r="F20" s="470"/>
      <c r="G20" s="470"/>
      <c r="H20" s="470"/>
      <c r="I20" s="470"/>
      <c r="J20" s="470"/>
      <c r="K20" s="470"/>
      <c r="L20" s="470"/>
      <c r="M20" s="470"/>
      <c r="N20" s="470"/>
      <c r="P20" s="16" t="s">
        <v>233</v>
      </c>
      <c r="Q20" s="16" t="s">
        <v>234</v>
      </c>
    </row>
    <row r="21" spans="1:17">
      <c r="A21" s="470"/>
      <c r="B21" s="470"/>
      <c r="C21" s="470"/>
      <c r="D21" s="470"/>
      <c r="E21" s="470"/>
      <c r="F21" s="470"/>
      <c r="G21" s="470"/>
      <c r="H21" s="470"/>
      <c r="I21" s="470"/>
      <c r="J21" s="470"/>
      <c r="K21" s="470"/>
      <c r="L21" s="470"/>
      <c r="M21" s="470"/>
      <c r="N21" s="470"/>
      <c r="P21" s="16" t="s">
        <v>235</v>
      </c>
      <c r="Q21" s="17" t="s">
        <v>128</v>
      </c>
    </row>
    <row r="22" spans="1:17">
      <c r="A22" s="470"/>
      <c r="B22" s="470"/>
      <c r="C22" s="470"/>
      <c r="D22" s="470"/>
      <c r="E22" s="470"/>
      <c r="F22" s="470"/>
      <c r="G22" s="470"/>
      <c r="H22" s="470"/>
      <c r="I22" s="470"/>
      <c r="J22" s="470"/>
      <c r="K22" s="470"/>
      <c r="L22" s="470"/>
      <c r="M22" s="470"/>
      <c r="N22" s="470"/>
      <c r="P22" s="16" t="s">
        <v>236</v>
      </c>
      <c r="Q22" s="18" t="s">
        <v>120</v>
      </c>
    </row>
    <row r="23" spans="1:17">
      <c r="A23" s="470"/>
      <c r="B23" s="470"/>
      <c r="C23" s="470"/>
      <c r="D23" s="470"/>
      <c r="E23" s="470"/>
      <c r="F23" s="470"/>
      <c r="G23" s="470"/>
      <c r="H23" s="470"/>
      <c r="I23" s="470"/>
      <c r="J23" s="470"/>
      <c r="K23" s="470"/>
      <c r="L23" s="470"/>
      <c r="M23" s="470"/>
      <c r="N23" s="470"/>
      <c r="P23" s="16" t="s">
        <v>68</v>
      </c>
      <c r="Q23" s="17" t="s">
        <v>110</v>
      </c>
    </row>
    <row r="24" spans="1:17">
      <c r="A24" s="470"/>
      <c r="B24" s="470"/>
      <c r="C24" s="470"/>
      <c r="D24" s="470"/>
      <c r="E24" s="470"/>
      <c r="F24" s="470"/>
      <c r="G24" s="470"/>
      <c r="H24" s="470"/>
      <c r="I24" s="470"/>
      <c r="J24" s="470"/>
      <c r="K24" s="470"/>
      <c r="L24" s="470"/>
      <c r="M24" s="470"/>
      <c r="N24" s="470"/>
      <c r="P24" s="16" t="s">
        <v>237</v>
      </c>
      <c r="Q24" s="18" t="s">
        <v>238</v>
      </c>
    </row>
    <row r="25" spans="1:17">
      <c r="A25" s="470"/>
      <c r="B25" s="470"/>
      <c r="C25" s="470"/>
      <c r="D25" s="470"/>
      <c r="E25" s="470"/>
      <c r="F25" s="470"/>
      <c r="G25" s="470"/>
      <c r="H25" s="470"/>
      <c r="I25" s="470"/>
      <c r="J25" s="470"/>
      <c r="K25" s="470"/>
      <c r="L25" s="470"/>
      <c r="M25" s="470"/>
      <c r="N25" s="470"/>
      <c r="P25" s="16" t="s">
        <v>70</v>
      </c>
      <c r="Q25" s="18" t="s">
        <v>239</v>
      </c>
    </row>
    <row r="26" spans="1:17">
      <c r="P26" s="16" t="s">
        <v>240</v>
      </c>
      <c r="Q26" s="18" t="s">
        <v>241</v>
      </c>
    </row>
    <row r="27" spans="1:17">
      <c r="P27" s="16" t="s">
        <v>242</v>
      </c>
      <c r="Q27" s="18" t="s">
        <v>241</v>
      </c>
    </row>
    <row r="28" spans="1:17">
      <c r="P28" s="16" t="s">
        <v>73</v>
      </c>
      <c r="Q28" s="18" t="s">
        <v>243</v>
      </c>
    </row>
    <row r="29" spans="1:17">
      <c r="P29" s="16" t="s">
        <v>244</v>
      </c>
      <c r="Q29" s="18" t="s">
        <v>245</v>
      </c>
    </row>
    <row r="30" spans="1:17">
      <c r="P30" s="16" t="s">
        <v>72</v>
      </c>
      <c r="Q30" s="18" t="s">
        <v>241</v>
      </c>
    </row>
    <row r="31" spans="1:17">
      <c r="P31" s="16" t="s">
        <v>246</v>
      </c>
      <c r="Q31" s="18" t="s">
        <v>241</v>
      </c>
    </row>
    <row r="32" spans="1:17">
      <c r="P32" s="16" t="s">
        <v>75</v>
      </c>
      <c r="Q32" s="599" t="s">
        <v>80</v>
      </c>
    </row>
    <row r="33" spans="16:17">
      <c r="P33" s="16" t="s">
        <v>247</v>
      </c>
      <c r="Q33" s="599" t="s">
        <v>559</v>
      </c>
    </row>
    <row r="34" spans="16:17">
      <c r="P34" s="16" t="s">
        <v>248</v>
      </c>
    </row>
    <row r="35" spans="16:17">
      <c r="P35" s="16" t="s">
        <v>74</v>
      </c>
    </row>
    <row r="36" spans="16:17">
      <c r="P36" s="16" t="s">
        <v>249</v>
      </c>
    </row>
    <row r="37" spans="16:17">
      <c r="P37" s="16" t="s">
        <v>250</v>
      </c>
    </row>
    <row r="38" spans="16:17">
      <c r="P38" s="16" t="s">
        <v>107</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P89"/>
  <sheetViews>
    <sheetView view="pageLayout" workbookViewId="0">
      <selection activeCell="H9" sqref="H9:P9"/>
    </sheetView>
  </sheetViews>
  <sheetFormatPr defaultRowHeight="13.5"/>
  <cols>
    <col min="3" max="3" width="9.875" bestFit="1" customWidth="1"/>
    <col min="4" max="4" width="30.5" bestFit="1" customWidth="1"/>
    <col min="8" max="8" width="9.875" customWidth="1"/>
    <col min="10" max="10" width="10.625" customWidth="1"/>
  </cols>
  <sheetData>
    <row r="1" spans="3:16" ht="17.25">
      <c r="H1" s="310" t="s">
        <v>593</v>
      </c>
    </row>
    <row r="2" spans="3:16" ht="17.25">
      <c r="H2" s="310"/>
    </row>
    <row r="3" spans="3:16">
      <c r="C3" s="300" t="s">
        <v>376</v>
      </c>
      <c r="D3" s="302"/>
      <c r="H3" t="s">
        <v>594</v>
      </c>
    </row>
    <row r="4" spans="3:16" ht="27" customHeight="1">
      <c r="C4" s="304"/>
      <c r="D4" s="302" t="s">
        <v>377</v>
      </c>
      <c r="H4" s="819" t="s">
        <v>597</v>
      </c>
      <c r="I4" s="819"/>
      <c r="J4" s="819"/>
      <c r="K4" s="819"/>
      <c r="L4" s="819"/>
      <c r="M4" s="819"/>
      <c r="N4" s="819"/>
      <c r="O4" s="819"/>
      <c r="P4" s="819"/>
    </row>
    <row r="5" spans="3:16" ht="27" customHeight="1">
      <c r="C5" s="305"/>
      <c r="D5" s="302" t="s">
        <v>378</v>
      </c>
      <c r="H5" s="819" t="s">
        <v>598</v>
      </c>
      <c r="I5" s="819"/>
      <c r="J5" s="819"/>
      <c r="K5" s="819"/>
      <c r="L5" s="819"/>
      <c r="M5" s="819"/>
      <c r="N5" s="819"/>
      <c r="O5" s="819"/>
      <c r="P5" s="819"/>
    </row>
    <row r="6" spans="3:16">
      <c r="C6" s="302"/>
      <c r="D6" s="302" t="s">
        <v>379</v>
      </c>
    </row>
    <row r="7" spans="3:16">
      <c r="H7" t="s">
        <v>595</v>
      </c>
    </row>
    <row r="8" spans="3:16">
      <c r="H8" s="657" t="s">
        <v>778</v>
      </c>
    </row>
    <row r="9" spans="3:16" ht="27.2" customHeight="1">
      <c r="H9" s="819" t="s">
        <v>777</v>
      </c>
      <c r="I9" s="819"/>
      <c r="J9" s="819"/>
      <c r="K9" s="819"/>
      <c r="L9" s="819"/>
      <c r="M9" s="819"/>
      <c r="N9" s="819"/>
      <c r="O9" s="819"/>
      <c r="P9" s="819"/>
    </row>
    <row r="11" spans="3:16" ht="17.25">
      <c r="H11" s="310" t="s">
        <v>596</v>
      </c>
    </row>
    <row r="12" spans="3:16">
      <c r="H12" t="s">
        <v>614</v>
      </c>
    </row>
    <row r="13" spans="3:16">
      <c r="H13" s="817" t="s">
        <v>603</v>
      </c>
      <c r="I13" s="817"/>
      <c r="J13" s="817" t="s">
        <v>604</v>
      </c>
      <c r="K13" s="817"/>
      <c r="L13" s="817" t="s">
        <v>599</v>
      </c>
      <c r="M13" s="817"/>
      <c r="N13" s="817"/>
      <c r="O13" s="817"/>
    </row>
    <row r="14" spans="3:16">
      <c r="C14" s="300" t="s">
        <v>372</v>
      </c>
      <c r="D14" s="300" t="s">
        <v>371</v>
      </c>
      <c r="H14" s="818" t="s">
        <v>605</v>
      </c>
      <c r="I14" s="818"/>
      <c r="J14" s="818" t="s">
        <v>606</v>
      </c>
      <c r="K14" s="818"/>
      <c r="L14" s="818" t="s">
        <v>600</v>
      </c>
      <c r="M14" s="818"/>
      <c r="N14" s="818"/>
      <c r="O14" s="818"/>
    </row>
    <row r="15" spans="3:16">
      <c r="C15" s="301"/>
      <c r="D15" s="302" t="s">
        <v>373</v>
      </c>
      <c r="H15" s="818" t="s">
        <v>607</v>
      </c>
      <c r="I15" s="818"/>
      <c r="J15" s="818" t="s">
        <v>608</v>
      </c>
      <c r="K15" s="818"/>
      <c r="L15" s="818" t="s">
        <v>601</v>
      </c>
      <c r="M15" s="818"/>
      <c r="N15" s="818"/>
      <c r="O15" s="818"/>
    </row>
    <row r="16" spans="3:16">
      <c r="C16" s="303"/>
      <c r="D16" s="302" t="s">
        <v>374</v>
      </c>
      <c r="H16" s="818" t="s">
        <v>609</v>
      </c>
      <c r="I16" s="818"/>
      <c r="J16" s="818" t="s">
        <v>610</v>
      </c>
      <c r="K16" s="818"/>
      <c r="L16" s="818" t="s">
        <v>602</v>
      </c>
      <c r="M16" s="818"/>
      <c r="N16" s="818"/>
      <c r="O16" s="818"/>
    </row>
    <row r="17" spans="3:15">
      <c r="C17" s="302"/>
      <c r="D17" s="302" t="s">
        <v>375</v>
      </c>
      <c r="H17" s="818" t="s">
        <v>611</v>
      </c>
      <c r="I17" s="818"/>
      <c r="J17" s="818" t="s">
        <v>610</v>
      </c>
      <c r="K17" s="818"/>
      <c r="L17" s="818" t="s">
        <v>613</v>
      </c>
      <c r="M17" s="818"/>
      <c r="N17" s="818"/>
      <c r="O17" s="818"/>
    </row>
    <row r="18" spans="3:15">
      <c r="H18" s="818" t="s">
        <v>612</v>
      </c>
      <c r="I18" s="818"/>
      <c r="J18" s="818" t="s">
        <v>610</v>
      </c>
      <c r="K18" s="818"/>
      <c r="L18" s="818" t="s">
        <v>613</v>
      </c>
      <c r="M18" s="818"/>
      <c r="N18" s="818"/>
      <c r="O18" s="818"/>
    </row>
    <row r="20" spans="3:15">
      <c r="H20" s="658" t="s">
        <v>376</v>
      </c>
      <c r="I20" s="817"/>
      <c r="J20" s="817"/>
      <c r="K20" s="817"/>
      <c r="L20" s="817"/>
    </row>
    <row r="21" spans="3:15">
      <c r="H21" s="304"/>
      <c r="I21" s="817" t="s">
        <v>377</v>
      </c>
      <c r="J21" s="817"/>
      <c r="K21" s="817"/>
      <c r="L21" s="817"/>
    </row>
    <row r="22" spans="3:15">
      <c r="H22" s="305"/>
      <c r="I22" s="817" t="s">
        <v>378</v>
      </c>
      <c r="J22" s="817"/>
      <c r="K22" s="817"/>
      <c r="L22" s="817"/>
    </row>
    <row r="23" spans="3:15">
      <c r="H23" s="302"/>
      <c r="I23" s="817" t="s">
        <v>379</v>
      </c>
      <c r="J23" s="817"/>
      <c r="K23" s="817"/>
      <c r="L23" s="817"/>
    </row>
    <row r="24" spans="3:15">
      <c r="H24" s="663"/>
      <c r="I24" s="663"/>
    </row>
    <row r="25" spans="3:15">
      <c r="H25" s="658" t="s">
        <v>372</v>
      </c>
      <c r="I25" s="817" t="s">
        <v>371</v>
      </c>
      <c r="J25" s="817"/>
      <c r="K25" s="817"/>
      <c r="L25" s="817"/>
    </row>
    <row r="26" spans="3:15">
      <c r="H26" s="301"/>
      <c r="I26" s="817" t="s">
        <v>373</v>
      </c>
      <c r="J26" s="817"/>
      <c r="K26" s="817"/>
      <c r="L26" s="817"/>
    </row>
    <row r="27" spans="3:15">
      <c r="H27" s="303"/>
      <c r="I27" s="817" t="s">
        <v>374</v>
      </c>
      <c r="J27" s="817"/>
      <c r="K27" s="817"/>
      <c r="L27" s="817"/>
    </row>
    <row r="28" spans="3:15">
      <c r="H28" s="302"/>
      <c r="I28" s="817" t="s">
        <v>375</v>
      </c>
      <c r="J28" s="817"/>
      <c r="K28" s="817"/>
      <c r="L28" s="817"/>
    </row>
    <row r="29" spans="3:15">
      <c r="H29" s="663"/>
      <c r="I29" s="663"/>
    </row>
    <row r="30" spans="3:15">
      <c r="H30" t="s">
        <v>615</v>
      </c>
    </row>
    <row r="31" spans="3:15">
      <c r="H31" s="657" t="s">
        <v>771</v>
      </c>
    </row>
    <row r="32" spans="3:15">
      <c r="H32" s="657" t="s">
        <v>772</v>
      </c>
    </row>
    <row r="59" spans="8:12">
      <c r="H59" s="657" t="s">
        <v>773</v>
      </c>
      <c r="K59" s="287"/>
      <c r="L59" t="s">
        <v>775</v>
      </c>
    </row>
    <row r="60" spans="8:12">
      <c r="H60" s="657" t="s">
        <v>774</v>
      </c>
    </row>
    <row r="89" spans="8:8">
      <c r="H89" s="657" t="s">
        <v>776</v>
      </c>
    </row>
  </sheetData>
  <mergeCells count="29">
    <mergeCell ref="L18:O18"/>
    <mergeCell ref="H4:P4"/>
    <mergeCell ref="H5:P5"/>
    <mergeCell ref="H9:P9"/>
    <mergeCell ref="L16:O16"/>
    <mergeCell ref="H17:I17"/>
    <mergeCell ref="J17:K17"/>
    <mergeCell ref="L17:O17"/>
    <mergeCell ref="I20:L20"/>
    <mergeCell ref="I21:L21"/>
    <mergeCell ref="I22:L22"/>
    <mergeCell ref="L13:O13"/>
    <mergeCell ref="H13:I13"/>
    <mergeCell ref="J13:K13"/>
    <mergeCell ref="H14:I14"/>
    <mergeCell ref="H15:I15"/>
    <mergeCell ref="H16:I16"/>
    <mergeCell ref="J16:K16"/>
    <mergeCell ref="J15:K15"/>
    <mergeCell ref="J14:K14"/>
    <mergeCell ref="L14:O14"/>
    <mergeCell ref="L15:O15"/>
    <mergeCell ref="H18:I18"/>
    <mergeCell ref="J18:K18"/>
    <mergeCell ref="I25:L25"/>
    <mergeCell ref="I26:L26"/>
    <mergeCell ref="I27:L27"/>
    <mergeCell ref="I28:L28"/>
    <mergeCell ref="I23:L23"/>
  </mergeCells>
  <phoneticPr fontId="14"/>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40"/>
  <sheetViews>
    <sheetView showGridLines="0" tabSelected="1" view="pageBreakPreview" zoomScaleSheetLayoutView="100" workbookViewId="0">
      <pane xSplit="3" ySplit="8" topLeftCell="D12" activePane="bottomRight" state="frozen"/>
      <selection pane="topRight" activeCell="D1" sqref="D1"/>
      <selection pane="bottomLeft" activeCell="A9" sqref="A9"/>
      <selection pane="bottomRight" activeCell="D35" sqref="D35"/>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42" t="s">
        <v>129</v>
      </c>
      <c r="C1" s="443"/>
      <c r="N1" s="36"/>
      <c r="O1" s="36"/>
      <c r="Z1" s="36"/>
      <c r="AA1" s="36"/>
      <c r="AL1" s="36"/>
      <c r="AM1" s="36" t="s">
        <v>130</v>
      </c>
    </row>
    <row r="2" spans="2:44">
      <c r="B2" s="722" t="s">
        <v>131</v>
      </c>
      <c r="C2" s="722"/>
      <c r="D2" s="723">
        <v>1</v>
      </c>
      <c r="E2" s="723"/>
      <c r="F2" s="723"/>
      <c r="G2" s="717">
        <v>2</v>
      </c>
      <c r="H2" s="717"/>
      <c r="I2" s="717"/>
      <c r="J2" s="717">
        <v>3</v>
      </c>
      <c r="K2" s="717"/>
      <c r="L2" s="717"/>
      <c r="M2" s="717">
        <v>4</v>
      </c>
      <c r="N2" s="717"/>
      <c r="O2" s="717"/>
      <c r="P2" s="717">
        <v>5</v>
      </c>
      <c r="Q2" s="717"/>
      <c r="R2" s="717"/>
      <c r="S2" s="717">
        <v>6</v>
      </c>
      <c r="T2" s="717"/>
      <c r="U2" s="717"/>
      <c r="V2" s="717">
        <v>7</v>
      </c>
      <c r="W2" s="717"/>
      <c r="X2" s="717"/>
      <c r="Y2" s="717">
        <v>8</v>
      </c>
      <c r="Z2" s="717"/>
      <c r="AA2" s="717"/>
      <c r="AB2" s="717">
        <v>9</v>
      </c>
      <c r="AC2" s="717"/>
      <c r="AD2" s="717"/>
      <c r="AE2" s="717">
        <v>10</v>
      </c>
      <c r="AF2" s="717"/>
      <c r="AG2" s="717"/>
      <c r="AH2" s="717">
        <v>11</v>
      </c>
      <c r="AI2" s="717"/>
      <c r="AJ2" s="717"/>
      <c r="AK2" s="718">
        <v>12</v>
      </c>
      <c r="AL2" s="718"/>
      <c r="AM2" s="718"/>
      <c r="AN2" s="716" t="s">
        <v>132</v>
      </c>
    </row>
    <row r="3" spans="2:44">
      <c r="B3" s="722"/>
      <c r="C3" s="722"/>
      <c r="D3" s="37" t="s">
        <v>133</v>
      </c>
      <c r="E3" s="37" t="s">
        <v>134</v>
      </c>
      <c r="F3" s="37" t="s">
        <v>135</v>
      </c>
      <c r="G3" s="37" t="s">
        <v>133</v>
      </c>
      <c r="H3" s="37" t="s">
        <v>134</v>
      </c>
      <c r="I3" s="37" t="s">
        <v>135</v>
      </c>
      <c r="J3" s="37" t="s">
        <v>133</v>
      </c>
      <c r="K3" s="37" t="s">
        <v>134</v>
      </c>
      <c r="L3" s="37" t="s">
        <v>135</v>
      </c>
      <c r="M3" s="37" t="s">
        <v>133</v>
      </c>
      <c r="N3" s="37" t="s">
        <v>134</v>
      </c>
      <c r="O3" s="37" t="s">
        <v>135</v>
      </c>
      <c r="P3" s="38" t="s">
        <v>133</v>
      </c>
      <c r="Q3" s="37" t="s">
        <v>134</v>
      </c>
      <c r="R3" s="37" t="s">
        <v>135</v>
      </c>
      <c r="S3" s="37" t="s">
        <v>133</v>
      </c>
      <c r="T3" s="37" t="s">
        <v>134</v>
      </c>
      <c r="U3" s="37" t="s">
        <v>135</v>
      </c>
      <c r="V3" s="37" t="s">
        <v>133</v>
      </c>
      <c r="W3" s="37" t="s">
        <v>134</v>
      </c>
      <c r="X3" s="37" t="s">
        <v>135</v>
      </c>
      <c r="Y3" s="37" t="s">
        <v>133</v>
      </c>
      <c r="Z3" s="37" t="s">
        <v>134</v>
      </c>
      <c r="AA3" s="37" t="s">
        <v>135</v>
      </c>
      <c r="AB3" s="38" t="s">
        <v>133</v>
      </c>
      <c r="AC3" s="37" t="s">
        <v>134</v>
      </c>
      <c r="AD3" s="37" t="s">
        <v>135</v>
      </c>
      <c r="AE3" s="37" t="s">
        <v>133</v>
      </c>
      <c r="AF3" s="37" t="s">
        <v>134</v>
      </c>
      <c r="AG3" s="37" t="s">
        <v>135</v>
      </c>
      <c r="AH3" s="37" t="s">
        <v>133</v>
      </c>
      <c r="AI3" s="37" t="s">
        <v>134</v>
      </c>
      <c r="AJ3" s="37" t="s">
        <v>135</v>
      </c>
      <c r="AK3" s="37" t="s">
        <v>133</v>
      </c>
      <c r="AL3" s="37" t="s">
        <v>134</v>
      </c>
      <c r="AM3" s="39" t="s">
        <v>135</v>
      </c>
      <c r="AN3" s="716"/>
    </row>
    <row r="4" spans="2:44" ht="13.5">
      <c r="B4" s="724" t="s">
        <v>276</v>
      </c>
      <c r="C4" s="719" t="s">
        <v>277</v>
      </c>
      <c r="D4" s="40"/>
      <c r="E4" s="41"/>
      <c r="F4" s="41"/>
      <c r="G4" s="41"/>
      <c r="H4" s="41"/>
      <c r="I4" s="42"/>
      <c r="J4" s="42"/>
      <c r="K4" s="41"/>
      <c r="L4" s="41"/>
      <c r="M4" s="41"/>
      <c r="N4" s="41"/>
      <c r="O4" s="41"/>
      <c r="P4" s="40"/>
      <c r="Q4" s="41"/>
      <c r="R4" s="41"/>
      <c r="S4" s="41"/>
      <c r="T4" s="41"/>
      <c r="U4" s="42"/>
      <c r="V4" s="42"/>
      <c r="W4" s="41"/>
      <c r="X4" s="41"/>
      <c r="Y4" s="41"/>
      <c r="Z4" s="41"/>
      <c r="AA4" s="41"/>
      <c r="AB4" s="40"/>
      <c r="AC4" s="41"/>
      <c r="AD4" s="41"/>
      <c r="AE4" s="41"/>
      <c r="AF4" s="41"/>
      <c r="AG4" s="42"/>
      <c r="AH4" s="42"/>
      <c r="AI4" s="41"/>
      <c r="AJ4" s="41"/>
      <c r="AK4" s="41"/>
      <c r="AL4" s="41"/>
      <c r="AM4" s="41"/>
      <c r="AN4" s="43"/>
      <c r="AP4" s="10"/>
      <c r="AQ4" s="10"/>
      <c r="AR4" s="10"/>
    </row>
    <row r="5" spans="2:44" ht="12" customHeight="1">
      <c r="B5" s="725"/>
      <c r="C5" s="720"/>
      <c r="D5" s="40" t="s">
        <v>136</v>
      </c>
      <c r="E5" s="41" t="s">
        <v>136</v>
      </c>
      <c r="F5" s="41" t="s">
        <v>136</v>
      </c>
      <c r="G5" s="41" t="s">
        <v>136</v>
      </c>
      <c r="H5" s="41" t="s">
        <v>136</v>
      </c>
      <c r="I5" s="41" t="s">
        <v>136</v>
      </c>
      <c r="J5" s="41" t="s">
        <v>136</v>
      </c>
      <c r="K5" s="41" t="s">
        <v>136</v>
      </c>
      <c r="L5" s="42" t="s">
        <v>136</v>
      </c>
      <c r="M5" s="41" t="s">
        <v>136</v>
      </c>
      <c r="N5" s="41" t="s">
        <v>136</v>
      </c>
      <c r="O5" s="41" t="s">
        <v>136</v>
      </c>
      <c r="P5" s="40" t="s">
        <v>136</v>
      </c>
      <c r="Q5" s="41" t="s">
        <v>136</v>
      </c>
      <c r="R5" s="41" t="s">
        <v>136</v>
      </c>
      <c r="S5" s="41" t="s">
        <v>137</v>
      </c>
      <c r="T5" s="41"/>
      <c r="U5" s="41"/>
      <c r="V5" s="41"/>
      <c r="W5" s="41"/>
      <c r="X5" s="42"/>
      <c r="Y5" s="41"/>
      <c r="Z5" s="41"/>
      <c r="AA5" s="41"/>
      <c r="AB5" s="40"/>
      <c r="AC5" s="41"/>
      <c r="AD5" s="41"/>
      <c r="AE5" s="41"/>
      <c r="AF5" s="41"/>
      <c r="AG5" s="41"/>
      <c r="AH5" s="41"/>
      <c r="AI5" s="41"/>
      <c r="AJ5" s="41" t="s">
        <v>555</v>
      </c>
      <c r="AK5" s="41" t="s">
        <v>136</v>
      </c>
      <c r="AL5" s="41" t="s">
        <v>136</v>
      </c>
      <c r="AM5" s="41" t="s">
        <v>136</v>
      </c>
      <c r="AN5" s="43"/>
      <c r="AP5" s="10"/>
      <c r="AQ5" s="10"/>
      <c r="AR5" s="10"/>
    </row>
    <row r="6" spans="2:44" ht="12" customHeight="1">
      <c r="B6" s="725"/>
      <c r="C6" s="720"/>
      <c r="D6" s="40"/>
      <c r="E6" s="41"/>
      <c r="F6" s="41" t="s">
        <v>551</v>
      </c>
      <c r="G6" s="41" t="s">
        <v>551</v>
      </c>
      <c r="H6" s="41" t="s">
        <v>551</v>
      </c>
      <c r="I6" s="41" t="s">
        <v>551</v>
      </c>
      <c r="J6" s="41" t="s">
        <v>551</v>
      </c>
      <c r="K6" s="41" t="s">
        <v>551</v>
      </c>
      <c r="L6" s="41"/>
      <c r="M6" s="41"/>
      <c r="N6" s="41"/>
      <c r="O6" s="41" t="s">
        <v>552</v>
      </c>
      <c r="P6" s="41" t="s">
        <v>552</v>
      </c>
      <c r="Q6" s="41"/>
      <c r="R6" s="41"/>
      <c r="S6" s="41"/>
      <c r="T6" s="42"/>
      <c r="U6" s="42"/>
      <c r="V6" s="42"/>
      <c r="W6" s="42"/>
      <c r="X6" s="41"/>
      <c r="Y6" s="41"/>
      <c r="Z6" s="41"/>
      <c r="AA6" s="41"/>
      <c r="AB6" s="41"/>
      <c r="AC6" s="41"/>
      <c r="AD6" s="41"/>
      <c r="AE6" s="41"/>
      <c r="AF6" s="41"/>
      <c r="AG6" s="41"/>
      <c r="AH6" s="41"/>
      <c r="AI6" s="41"/>
      <c r="AJ6" s="41" t="s">
        <v>553</v>
      </c>
      <c r="AK6" s="41"/>
      <c r="AL6" s="41"/>
      <c r="AM6" s="41"/>
      <c r="AN6" s="43"/>
      <c r="AP6" s="10"/>
      <c r="AQ6" s="10"/>
      <c r="AR6" s="10"/>
    </row>
    <row r="7" spans="2:44" ht="12" customHeight="1">
      <c r="B7" s="725"/>
      <c r="C7" s="720"/>
      <c r="D7" s="40"/>
      <c r="E7" s="41"/>
      <c r="F7" s="41" t="s">
        <v>554</v>
      </c>
      <c r="G7" s="41"/>
      <c r="H7" s="41"/>
      <c r="I7" s="41"/>
      <c r="J7" s="41" t="s">
        <v>554</v>
      </c>
      <c r="K7" s="41"/>
      <c r="L7" s="41"/>
      <c r="M7" s="41"/>
      <c r="N7" s="41"/>
      <c r="O7" s="41" t="s">
        <v>554</v>
      </c>
      <c r="P7" s="41" t="s">
        <v>554</v>
      </c>
      <c r="Q7" s="41"/>
      <c r="R7" s="41"/>
      <c r="S7" s="41"/>
      <c r="T7" s="41"/>
      <c r="U7" s="41"/>
      <c r="V7" s="41"/>
      <c r="W7" s="41"/>
      <c r="X7" s="41"/>
      <c r="Y7" s="41"/>
      <c r="Z7" s="41"/>
      <c r="AA7" s="41"/>
      <c r="AB7" s="40"/>
      <c r="AC7" s="41"/>
      <c r="AD7" s="41"/>
      <c r="AE7" s="41"/>
      <c r="AF7" s="41"/>
      <c r="AG7" s="41"/>
      <c r="AH7" s="41"/>
      <c r="AI7" s="41"/>
      <c r="AJ7" s="41"/>
      <c r="AK7" s="41"/>
      <c r="AL7" s="41"/>
      <c r="AM7" s="41"/>
      <c r="AN7" s="43"/>
      <c r="AP7" s="10"/>
      <c r="AQ7" s="10"/>
      <c r="AR7" s="10"/>
    </row>
    <row r="8" spans="2:44" ht="12" customHeight="1">
      <c r="B8" s="726"/>
      <c r="C8" s="721"/>
      <c r="D8" s="44"/>
      <c r="E8" s="45"/>
      <c r="F8" s="45"/>
      <c r="G8" s="45"/>
      <c r="H8" s="45"/>
      <c r="I8" s="45"/>
      <c r="J8" s="45"/>
      <c r="K8" s="45"/>
      <c r="L8" s="45"/>
      <c r="M8" s="45"/>
      <c r="N8" s="45"/>
      <c r="O8" s="45"/>
      <c r="P8" s="44"/>
      <c r="Q8" s="45"/>
      <c r="R8" s="45"/>
      <c r="S8" s="45"/>
      <c r="T8" s="45"/>
      <c r="U8" s="45"/>
      <c r="V8" s="45"/>
      <c r="W8" s="45"/>
      <c r="X8" s="45"/>
      <c r="Y8" s="45"/>
      <c r="Z8" s="45"/>
      <c r="AA8" s="45"/>
      <c r="AB8" s="44"/>
      <c r="AC8" s="45"/>
      <c r="AD8" s="45"/>
      <c r="AE8" s="45"/>
      <c r="AF8" s="45"/>
      <c r="AG8" s="45"/>
      <c r="AH8" s="45"/>
      <c r="AI8" s="45"/>
      <c r="AJ8" s="45"/>
      <c r="AK8" s="45"/>
      <c r="AL8" s="45"/>
      <c r="AM8" s="45"/>
      <c r="AN8" s="43"/>
      <c r="AP8" s="10"/>
      <c r="AQ8" s="10"/>
      <c r="AR8" s="10"/>
    </row>
    <row r="9" spans="2:44" ht="15" customHeight="1">
      <c r="B9" s="727" t="str">
        <f>①技術体系!A6</f>
        <v>改良資材散布</v>
      </c>
      <c r="C9" s="728"/>
      <c r="D9" s="378">
        <f>SUMPRODUCT((③労働時間!$A$5:$A$353=作業体系表!$B9)*(③労働時間!$B$5:$B$353="1月上旬")*(③労働時間!$J$5:$J$353))</f>
        <v>0</v>
      </c>
      <c r="E9" s="378">
        <f>SUMPRODUCT((③労働時間!$A$5:$A$353=作業体系表!$B9)*(③労働時間!$B$5:$B$353="1月中旬")*(③労働時間!$J$5:$J$353))</f>
        <v>0</v>
      </c>
      <c r="F9" s="378">
        <f>SUMPRODUCT((③労働時間!$A$5:$A$353=作業体系表!$B9)*(③労働時間!$B$5:$B$353="1月下旬")*(③労働時間!$J$5:$J$353))</f>
        <v>0</v>
      </c>
      <c r="G9" s="378">
        <f>SUMPRODUCT((③労働時間!$A$5:$A$353=作業体系表!$B9)*(③労働時間!$B$5:$B$353="2月上旬")*(③労働時間!$J$5:$J$353))</f>
        <v>0</v>
      </c>
      <c r="H9" s="378">
        <f>SUMPRODUCT((③労働時間!$A$5:$A$353=作業体系表!$B9)*(③労働時間!$B$5:$B$353="2月中旬")*(③労働時間!$J$5:$J$353))</f>
        <v>0</v>
      </c>
      <c r="I9" s="378">
        <f>SUMPRODUCT((③労働時間!$A$5:$A$353=作業体系表!$B9)*(③労働時間!$B$5:$B$353="2月下旬")*(③労働時間!$J$5:$J$353))</f>
        <v>0</v>
      </c>
      <c r="J9" s="378">
        <f>SUMPRODUCT((③労働時間!$A$5:$A$353=作業体系表!$B9)*(③労働時間!$B$5:$B$353="3月上旬")*(③労働時間!$J$5:$J$353))</f>
        <v>0</v>
      </c>
      <c r="K9" s="378">
        <f>SUMPRODUCT((③労働時間!$A$5:$A$353=作業体系表!$B9)*(③労働時間!$B$5:$B$353="3月中旬")*(③労働時間!$J$5:$J$353))</f>
        <v>0</v>
      </c>
      <c r="L9" s="378">
        <f>SUMPRODUCT((③労働時間!$A$5:$A$353=作業体系表!$B9)*(③労働時間!$B$5:$B$353="3月下旬")*(③労働時間!$J$5:$J$353))</f>
        <v>0</v>
      </c>
      <c r="M9" s="378">
        <f>SUMPRODUCT((③労働時間!$A$5:$A$353=作業体系表!$B9)*(③労働時間!$B$5:$B$353="4月上旬")*(③労働時間!$J$5:$J$353))</f>
        <v>0</v>
      </c>
      <c r="N9" s="378">
        <f>SUMPRODUCT((③労働時間!$A$5:$A$353=作業体系表!$B9)*(③労働時間!$B$5:$B$353="4月中旬")*(③労働時間!$J$5:$J$353))</f>
        <v>0</v>
      </c>
      <c r="O9" s="378">
        <f>SUMPRODUCT((③労働時間!$A$5:$A$353=作業体系表!$B9)*(③労働時間!$B$5:$B$353="4月下旬")*(③労働時間!$J$5:$J$353))</f>
        <v>0</v>
      </c>
      <c r="P9" s="379">
        <f>SUMPRODUCT((③労働時間!$A$5:$A$353=作業体系表!$B9)*(③労働時間!$B$5:$B$353="5月上旬")*(③労働時間!$J$5:$J$353))</f>
        <v>0</v>
      </c>
      <c r="Q9" s="378">
        <f>SUMPRODUCT((③労働時間!$A$5:$A$353=作業体系表!$B9)*(③労働時間!$B$5:$B$353="5月中旬")*(③労働時間!$J$5:$J$353))</f>
        <v>0</v>
      </c>
      <c r="R9" s="378">
        <f>SUMPRODUCT((③労働時間!$A$5:$A$353=作業体系表!$B9)*(③労働時間!$B$5:$B$353="5月下旬")*(③労働時間!$J$5:$J$353))</f>
        <v>0</v>
      </c>
      <c r="S9" s="378">
        <f>SUMPRODUCT((③労働時間!$A$5:$A$353=作業体系表!$B9)*(③労働時間!$B$5:$B$353="6月上旬")*(③労働時間!$J$5:$J$353))</f>
        <v>0</v>
      </c>
      <c r="T9" s="378">
        <f>SUMPRODUCT((③労働時間!$A$5:$A$353=作業体系表!$B9)*(③労働時間!$B$5:$B$353="6月中旬")*(③労働時間!$J$5:$J$353))</f>
        <v>0</v>
      </c>
      <c r="U9" s="378">
        <f>SUMPRODUCT((③労働時間!$A$5:$A$353=作業体系表!$B9)*(③労働時間!$B$5:$B$353="6月下旬")*(③労働時間!$J$5:$J$353))</f>
        <v>0</v>
      </c>
      <c r="V9" s="378">
        <f>SUMPRODUCT((③労働時間!$A$5:$A$353=作業体系表!$B9)*(③労働時間!$B$5:$B$353="7月上旬")*(③労働時間!$J$5:$J$353))</f>
        <v>0</v>
      </c>
      <c r="W9" s="378">
        <f>SUMPRODUCT((③労働時間!$A$5:$A$353=作業体系表!$B9)*(③労働時間!$B$5:$B$353="7月中旬")*(③労働時間!$J$5:$J$353))</f>
        <v>0</v>
      </c>
      <c r="X9" s="378">
        <f>SUMPRODUCT((③労働時間!$A$5:$A$353=作業体系表!$B9)*(③労働時間!$B$5:$B$353="7月下旬")*(③労働時間!$J$5:$J$353))</f>
        <v>0</v>
      </c>
      <c r="Y9" s="378">
        <f>SUMPRODUCT((③労働時間!$A$5:$A$353=作業体系表!$B9)*(③労働時間!$B$5:$B$353="8月上旬")*(③労働時間!$J$5:$J$353))</f>
        <v>0</v>
      </c>
      <c r="Z9" s="378">
        <f>SUMPRODUCT((③労働時間!$A$5:$A$353=作業体系表!$B9)*(③労働時間!$B$5:$B$353="8月中旬")*(③労働時間!$J$5:$J$353))</f>
        <v>0</v>
      </c>
      <c r="AA9" s="378">
        <f>SUMPRODUCT((③労働時間!$A$5:$A$353=作業体系表!$B9)*(③労働時間!$B$5:$B$353="8月下旬")*(③労働時間!$J$5:$J$353))</f>
        <v>0</v>
      </c>
      <c r="AB9" s="379">
        <f>SUMPRODUCT((③労働時間!$A$5:$A$353=作業体系表!$B9)*(③労働時間!$B$5:$B$353="9月上旬")*(③労働時間!$J$5:$J$353))</f>
        <v>0</v>
      </c>
      <c r="AC9" s="378">
        <f>SUMPRODUCT((③労働時間!$A$5:$A$353=作業体系表!$B9)*(③労働時間!$B$5:$B$353="9月中旬")*(③労働時間!$J$5:$J$353))</f>
        <v>0</v>
      </c>
      <c r="AD9" s="378">
        <f>SUMPRODUCT((③労働時間!$A$5:$A$353=作業体系表!$B9)*(③労働時間!$B$5:$B$353="9月下旬")*(③労働時間!$J$5:$J$353))</f>
        <v>0</v>
      </c>
      <c r="AE9" s="378">
        <f>SUMPRODUCT((③労働時間!$A$5:$A$353=作業体系表!$B9)*(③労働時間!$B$5:$B$353="10月上旬")*(③労働時間!$J$5:$J$353))</f>
        <v>0</v>
      </c>
      <c r="AF9" s="378">
        <f>SUMPRODUCT((③労働時間!$A$5:$A$353=作業体系表!$B9)*(③労働時間!$B$5:$B$353="10月中旬")*(③労働時間!$J$5:$J$353))</f>
        <v>0</v>
      </c>
      <c r="AG9" s="378">
        <f>SUMPRODUCT((③労働時間!$A$5:$A$353=作業体系表!$B9)*(③労働時間!$B$5:$B$353="10月下旬")*(③労働時間!$J$5:$J$353))</f>
        <v>0.33670033670033672</v>
      </c>
      <c r="AH9" s="378">
        <f>SUMPRODUCT((③労働時間!$A$5:$A$353=作業体系表!$B9)*(③労働時間!$B$5:$B$353="11月上旬")*(③労働時間!$J$5:$J$353))</f>
        <v>0</v>
      </c>
      <c r="AI9" s="378">
        <f>SUMPRODUCT((③労働時間!$A$5:$A$353=作業体系表!$B9)*(③労働時間!$B$5:$B$353="11月中旬")*(③労働時間!$J$5:$J$353))</f>
        <v>0</v>
      </c>
      <c r="AJ9" s="378">
        <f>SUMPRODUCT((③労働時間!$A$5:$A$353=作業体系表!$B9)*(③労働時間!$B$5:$B$353="11月下旬")*(③労働時間!$J$5:$J$353))</f>
        <v>0</v>
      </c>
      <c r="AK9" s="378">
        <f>SUMPRODUCT((③労働時間!$A$5:$A$353=作業体系表!$B9)*(③労働時間!$B$5:$B$353="12月上旬")*(③労働時間!$J$5:$J$353))</f>
        <v>0</v>
      </c>
      <c r="AL9" s="378">
        <f>SUMPRODUCT((③労働時間!$A$5:$A$353=作業体系表!$B9)*(③労働時間!$B$5:$B$353="12月中旬")*(③労働時間!$J$5:$J$353))</f>
        <v>0</v>
      </c>
      <c r="AM9" s="380">
        <f>SUMPRODUCT((③労働時間!$A$5:$A$353=作業体系表!$B9)*(③労働時間!$B$5:$B$353="12月下旬")*(③労働時間!$J$5:$J$353))</f>
        <v>0</v>
      </c>
      <c r="AN9" s="381">
        <f>SUM(D9:AM9)</f>
        <v>0.33670033670033672</v>
      </c>
      <c r="AP9" s="10"/>
      <c r="AQ9" s="10"/>
      <c r="AR9" s="10"/>
    </row>
    <row r="10" spans="2:44" ht="15" customHeight="1">
      <c r="B10" s="708" t="str">
        <f>①技術体系!A7</f>
        <v>耕転</v>
      </c>
      <c r="C10" s="709"/>
      <c r="D10" s="382">
        <f>SUMPRODUCT((③労働時間!$A$5:$A$353=作業体系表!$B10)*(③労働時間!$B$5:$B$353="1月上旬")*(③労働時間!$J$5:$J$353))</f>
        <v>0</v>
      </c>
      <c r="E10" s="382">
        <f>SUMPRODUCT((③労働時間!$A$5:$A$353=作業体系表!$B10)*(③労働時間!$B$5:$B$353="1月中旬")*(③労働時間!$J$5:$J$353))</f>
        <v>0</v>
      </c>
      <c r="F10" s="382">
        <f>SUMPRODUCT((③労働時間!$A$5:$A$353=作業体系表!$B10)*(③労働時間!$B$5:$B$353="1月下旬")*(③労働時間!$J$5:$J$353))</f>
        <v>0</v>
      </c>
      <c r="G10" s="382">
        <f>SUMPRODUCT((③労働時間!$A$5:$A$353=作業体系表!$B10)*(③労働時間!$B$5:$B$353="2月上旬")*(③労働時間!$J$5:$J$353))</f>
        <v>0</v>
      </c>
      <c r="H10" s="382">
        <f>SUMPRODUCT((③労働時間!$A$5:$A$353=作業体系表!$B10)*(③労働時間!$B$5:$B$353="2月中旬")*(③労働時間!$J$5:$J$353))</f>
        <v>0</v>
      </c>
      <c r="I10" s="382">
        <f>SUMPRODUCT((③労働時間!$A$5:$A$353=作業体系表!$B10)*(③労働時間!$B$5:$B$353="2月下旬")*(③労働時間!$J$5:$J$353))</f>
        <v>0</v>
      </c>
      <c r="J10" s="382">
        <f>SUMPRODUCT((③労働時間!$A$5:$A$353=作業体系表!$B10)*(③労働時間!$B$5:$B$353="3月上旬")*(③労働時間!$J$5:$J$353))</f>
        <v>0</v>
      </c>
      <c r="K10" s="382">
        <f>SUMPRODUCT((③労働時間!$A$5:$A$353=作業体系表!$B10)*(③労働時間!$B$5:$B$353="3月中旬")*(③労働時間!$J$5:$J$353))</f>
        <v>0</v>
      </c>
      <c r="L10" s="382">
        <f>SUMPRODUCT((③労働時間!$A$5:$A$353=作業体系表!$B10)*(③労働時間!$B$5:$B$353="3月下旬")*(③労働時間!$J$5:$J$353))</f>
        <v>0</v>
      </c>
      <c r="M10" s="382">
        <f>SUMPRODUCT((③労働時間!$A$5:$A$353=作業体系表!$B10)*(③労働時間!$B$5:$B$353="4月上旬")*(③労働時間!$J$5:$J$353))</f>
        <v>0</v>
      </c>
      <c r="N10" s="382">
        <f>SUMPRODUCT((③労働時間!$A$5:$A$353=作業体系表!$B10)*(③労働時間!$B$5:$B$353="4月中旬")*(③労働時間!$J$5:$J$353))</f>
        <v>0</v>
      </c>
      <c r="O10" s="382">
        <f>SUMPRODUCT((③労働時間!$A$5:$A$353=作業体系表!$B10)*(③労働時間!$B$5:$B$353="4月下旬")*(③労働時間!$J$5:$J$353))</f>
        <v>0</v>
      </c>
      <c r="P10" s="383">
        <f>SUMPRODUCT((③労働時間!$A$5:$A$353=作業体系表!$B10)*(③労働時間!$B$5:$B$353="5月上旬")*(③労働時間!$J$5:$J$353))</f>
        <v>0</v>
      </c>
      <c r="Q10" s="382">
        <f>SUMPRODUCT((③労働時間!$A$5:$A$353=作業体系表!$B10)*(③労働時間!$B$5:$B$353="5月中旬")*(③労働時間!$J$5:$J$353))</f>
        <v>0</v>
      </c>
      <c r="R10" s="382">
        <f>SUMPRODUCT((③労働時間!$A$5:$A$353=作業体系表!$B10)*(③労働時間!$B$5:$B$353="5月下旬")*(③労働時間!$J$5:$J$353))</f>
        <v>0</v>
      </c>
      <c r="S10" s="382">
        <f>SUMPRODUCT((③労働時間!$A$5:$A$353=作業体系表!$B10)*(③労働時間!$B$5:$B$353="6月上旬")*(③労働時間!$J$5:$J$353))</f>
        <v>0</v>
      </c>
      <c r="T10" s="382">
        <f>SUMPRODUCT((③労働時間!$A$5:$A$353=作業体系表!$B10)*(③労働時間!$B$5:$B$353="6月中旬")*(③労働時間!$J$5:$J$353))</f>
        <v>0</v>
      </c>
      <c r="U10" s="382">
        <f>SUMPRODUCT((③労働時間!$A$5:$A$353=作業体系表!$B10)*(③労働時間!$B$5:$B$353="6月下旬")*(③労働時間!$J$5:$J$353))</f>
        <v>0</v>
      </c>
      <c r="V10" s="382">
        <f>SUMPRODUCT((③労働時間!$A$5:$A$353=作業体系表!$B10)*(③労働時間!$B$5:$B$353="7月上旬")*(③労働時間!$J$5:$J$353))</f>
        <v>0</v>
      </c>
      <c r="W10" s="382">
        <f>SUMPRODUCT((③労働時間!$A$5:$A$353=作業体系表!$B10)*(③労働時間!$B$5:$B$353="7月中旬")*(③労働時間!$J$5:$J$353))</f>
        <v>0</v>
      </c>
      <c r="X10" s="382">
        <f>SUMPRODUCT((③労働時間!$A$5:$A$353=作業体系表!$B10)*(③労働時間!$B$5:$B$353="7月下旬")*(③労働時間!$J$5:$J$353))</f>
        <v>0</v>
      </c>
      <c r="Y10" s="382">
        <f>SUMPRODUCT((③労働時間!$A$5:$A$353=作業体系表!$B10)*(③労働時間!$B$5:$B$353="8月上旬")*(③労働時間!$J$5:$J$353))</f>
        <v>0</v>
      </c>
      <c r="Z10" s="382">
        <f>SUMPRODUCT((③労働時間!$A$5:$A$353=作業体系表!$B10)*(③労働時間!$B$5:$B$353="8月中旬")*(③労働時間!$J$5:$J$353))</f>
        <v>0</v>
      </c>
      <c r="AA10" s="382">
        <f>SUMPRODUCT((③労働時間!$A$5:$A$353=作業体系表!$B10)*(③労働時間!$B$5:$B$353="8月下旬")*(③労働時間!$J$5:$J$353))</f>
        <v>0</v>
      </c>
      <c r="AB10" s="383">
        <f>SUMPRODUCT((③労働時間!$A$5:$A$353=作業体系表!$B10)*(③労働時間!$B$5:$B$353="9月上旬")*(③労働時間!$J$5:$J$353))</f>
        <v>0</v>
      </c>
      <c r="AC10" s="382">
        <f>SUMPRODUCT((③労働時間!$A$5:$A$353=作業体系表!$B10)*(③労働時間!$B$5:$B$353="9月中旬")*(③労働時間!$J$5:$J$353))</f>
        <v>0</v>
      </c>
      <c r="AD10" s="382">
        <f>SUMPRODUCT((③労働時間!$A$5:$A$353=作業体系表!$B10)*(③労働時間!$B$5:$B$353="9月下旬")*(③労働時間!$J$5:$J$353))</f>
        <v>0</v>
      </c>
      <c r="AE10" s="382">
        <f>SUMPRODUCT((③労働時間!$A$5:$A$353=作業体系表!$B10)*(③労働時間!$B$5:$B$353="10月上旬")*(③労働時間!$J$5:$J$353))</f>
        <v>0</v>
      </c>
      <c r="AF10" s="382">
        <f>SUMPRODUCT((③労働時間!$A$5:$A$353=作業体系表!$B10)*(③労働時間!$B$5:$B$353="10月中旬")*(③労働時間!$J$5:$J$353))</f>
        <v>0</v>
      </c>
      <c r="AG10" s="382">
        <f>SUMPRODUCT((③労働時間!$A$5:$A$353=作業体系表!$B10)*(③労働時間!$B$5:$B$353="10月下旬")*(③労働時間!$J$5:$J$353))</f>
        <v>0.44642857142857145</v>
      </c>
      <c r="AH10" s="382">
        <f>SUMPRODUCT((③労働時間!$A$5:$A$353=作業体系表!$B10)*(③労働時間!$B$5:$B$353="11月上旬")*(③労働時間!$J$5:$J$353))</f>
        <v>0</v>
      </c>
      <c r="AI10" s="382">
        <f>SUMPRODUCT((③労働時間!$A$5:$A$353=作業体系表!$B10)*(③労働時間!$B$5:$B$353="11月中旬")*(③労働時間!$J$5:$J$353))</f>
        <v>0</v>
      </c>
      <c r="AJ10" s="382">
        <f>SUMPRODUCT((③労働時間!$A$5:$A$353=作業体系表!$B10)*(③労働時間!$B$5:$B$353="11月下旬")*(③労働時間!$J$5:$J$353))</f>
        <v>0</v>
      </c>
      <c r="AK10" s="382">
        <f>SUMPRODUCT((③労働時間!$A$5:$A$353=作業体系表!$B10)*(③労働時間!$B$5:$B$353="12月上旬")*(③労働時間!$J$5:$J$353))</f>
        <v>0</v>
      </c>
      <c r="AL10" s="382">
        <f>SUMPRODUCT((③労働時間!$A$5:$A$353=作業体系表!$B10)*(③労働時間!$B$5:$B$353="12月中旬")*(③労働時間!$J$5:$J$353))</f>
        <v>0</v>
      </c>
      <c r="AM10" s="384">
        <f>SUMPRODUCT((③労働時間!$A$5:$A$353=作業体系表!$B10)*(③労働時間!$B$5:$B$353="12月下旬")*(③労働時間!$J$5:$J$353))</f>
        <v>0</v>
      </c>
      <c r="AN10" s="385">
        <f t="shared" ref="AN10:AN28" si="0">SUM(D10:AM10)</f>
        <v>0.44642857142857145</v>
      </c>
      <c r="AP10" s="10"/>
      <c r="AQ10" s="10"/>
      <c r="AR10" s="10"/>
    </row>
    <row r="11" spans="2:44" ht="15" customHeight="1">
      <c r="B11" s="708" t="str">
        <f>①技術体系!A8</f>
        <v>畦立・施肥・播種</v>
      </c>
      <c r="C11" s="709"/>
      <c r="D11" s="382">
        <f>SUMPRODUCT((③労働時間!$A$5:$A$353=作業体系表!$B11)*(③労働時間!$B$5:$B$353="1月上旬")*(③労働時間!$J$5:$J$353))</f>
        <v>0</v>
      </c>
      <c r="E11" s="382">
        <f>SUMPRODUCT((③労働時間!$A$5:$A$353=作業体系表!$B11)*(③労働時間!$B$5:$B$353="1月中旬")*(③労働時間!$J$5:$J$353))</f>
        <v>0</v>
      </c>
      <c r="F11" s="382">
        <f>SUMPRODUCT((③労働時間!$A$5:$A$353=作業体系表!$B11)*(③労働時間!$B$5:$B$353="1月下旬")*(③労働時間!$J$5:$J$353))</f>
        <v>0</v>
      </c>
      <c r="G11" s="382">
        <f>SUMPRODUCT((③労働時間!$A$5:$A$353=作業体系表!$B11)*(③労働時間!$B$5:$B$353="2月上旬")*(③労働時間!$J$5:$J$353))</f>
        <v>0</v>
      </c>
      <c r="H11" s="382">
        <f>SUMPRODUCT((③労働時間!$A$5:$A$353=作業体系表!$B11)*(③労働時間!$B$5:$B$353="2月中旬")*(③労働時間!$J$5:$J$353))</f>
        <v>0</v>
      </c>
      <c r="I11" s="382">
        <f>SUMPRODUCT((③労働時間!$A$5:$A$353=作業体系表!$B11)*(③労働時間!$B$5:$B$353="2月下旬")*(③労働時間!$J$5:$J$353))</f>
        <v>0</v>
      </c>
      <c r="J11" s="382">
        <f>SUMPRODUCT((③労働時間!$A$5:$A$353=作業体系表!$B11)*(③労働時間!$B$5:$B$353="3月上旬")*(③労働時間!$J$5:$J$353))</f>
        <v>0</v>
      </c>
      <c r="K11" s="382">
        <f>SUMPRODUCT((③労働時間!$A$5:$A$353=作業体系表!$B11)*(③労働時間!$B$5:$B$353="3月中旬")*(③労働時間!$J$5:$J$353))</f>
        <v>0</v>
      </c>
      <c r="L11" s="382">
        <f>SUMPRODUCT((③労働時間!$A$5:$A$353=作業体系表!$B11)*(③労働時間!$B$5:$B$353="3月下旬")*(③労働時間!$J$5:$J$353))</f>
        <v>0</v>
      </c>
      <c r="M11" s="382">
        <f>SUMPRODUCT((③労働時間!$A$5:$A$353=作業体系表!$B11)*(③労働時間!$B$5:$B$353="4月上旬")*(③労働時間!$J$5:$J$353))</f>
        <v>0</v>
      </c>
      <c r="N11" s="382">
        <f>SUMPRODUCT((③労働時間!$A$5:$A$353=作業体系表!$B11)*(③労働時間!$B$5:$B$353="4月中旬")*(③労働時間!$J$5:$J$353))</f>
        <v>0</v>
      </c>
      <c r="O11" s="382">
        <f>SUMPRODUCT((③労働時間!$A$5:$A$353=作業体系表!$B11)*(③労働時間!$B$5:$B$353="4月下旬")*(③労働時間!$J$5:$J$353))</f>
        <v>0</v>
      </c>
      <c r="P11" s="383">
        <f>SUMPRODUCT((③労働時間!$A$5:$A$353=作業体系表!$B11)*(③労働時間!$B$5:$B$353="5月上旬")*(③労働時間!$J$5:$J$353))</f>
        <v>0</v>
      </c>
      <c r="Q11" s="382">
        <f>SUMPRODUCT((③労働時間!$A$5:$A$353=作業体系表!$B11)*(③労働時間!$B$5:$B$353="5月中旬")*(③労働時間!$J$5:$J$353))</f>
        <v>0</v>
      </c>
      <c r="R11" s="382">
        <f>SUMPRODUCT((③労働時間!$A$5:$A$353=作業体系表!$B11)*(③労働時間!$B$5:$B$353="5月下旬")*(③労働時間!$J$5:$J$353))</f>
        <v>0</v>
      </c>
      <c r="S11" s="382">
        <f>SUMPRODUCT((③労働時間!$A$5:$A$353=作業体系表!$B11)*(③労働時間!$B$5:$B$353="6月上旬")*(③労働時間!$J$5:$J$353))</f>
        <v>0</v>
      </c>
      <c r="T11" s="382">
        <f>SUMPRODUCT((③労働時間!$A$5:$A$353=作業体系表!$B11)*(③労働時間!$B$5:$B$353="6月中旬")*(③労働時間!$J$5:$J$353))</f>
        <v>0</v>
      </c>
      <c r="U11" s="382">
        <f>SUMPRODUCT((③労働時間!$A$5:$A$353=作業体系表!$B11)*(③労働時間!$B$5:$B$353="6月下旬")*(③労働時間!$J$5:$J$353))</f>
        <v>0</v>
      </c>
      <c r="V11" s="382">
        <f>SUMPRODUCT((③労働時間!$A$5:$A$353=作業体系表!$B11)*(③労働時間!$B$5:$B$353="7月上旬")*(③労働時間!$J$5:$J$353))</f>
        <v>0</v>
      </c>
      <c r="W11" s="382">
        <f>SUMPRODUCT((③労働時間!$A$5:$A$353=作業体系表!$B11)*(③労働時間!$B$5:$B$353="7月中旬")*(③労働時間!$J$5:$J$353))</f>
        <v>0</v>
      </c>
      <c r="X11" s="382">
        <f>SUMPRODUCT((③労働時間!$A$5:$A$353=作業体系表!$B11)*(③労働時間!$B$5:$B$353="7月下旬")*(③労働時間!$J$5:$J$353))</f>
        <v>0</v>
      </c>
      <c r="Y11" s="382">
        <f>SUMPRODUCT((③労働時間!$A$5:$A$353=作業体系表!$B11)*(③労働時間!$B$5:$B$353="8月上旬")*(③労働時間!$J$5:$J$353))</f>
        <v>0</v>
      </c>
      <c r="Z11" s="382">
        <f>SUMPRODUCT((③労働時間!$A$5:$A$353=作業体系表!$B11)*(③労働時間!$B$5:$B$353="8月中旬")*(③労働時間!$J$5:$J$353))</f>
        <v>0</v>
      </c>
      <c r="AA11" s="382">
        <f>SUMPRODUCT((③労働時間!$A$5:$A$353=作業体系表!$B11)*(③労働時間!$B$5:$B$353="8月下旬")*(③労働時間!$J$5:$J$353))</f>
        <v>0</v>
      </c>
      <c r="AB11" s="383">
        <f>SUMPRODUCT((③労働時間!$A$5:$A$353=作業体系表!$B11)*(③労働時間!$B$5:$B$353="9月上旬")*(③労働時間!$J$5:$J$353))</f>
        <v>0</v>
      </c>
      <c r="AC11" s="382">
        <f>SUMPRODUCT((③労働時間!$A$5:$A$353=作業体系表!$B11)*(③労働時間!$B$5:$B$353="9月中旬")*(③労働時間!$J$5:$J$353))</f>
        <v>0</v>
      </c>
      <c r="AD11" s="382">
        <f>SUMPRODUCT((③労働時間!$A$5:$A$353=作業体系表!$B11)*(③労働時間!$B$5:$B$353="9月下旬")*(③労働時間!$J$5:$J$353))</f>
        <v>0</v>
      </c>
      <c r="AE11" s="382">
        <f>SUMPRODUCT((③労働時間!$A$5:$A$353=作業体系表!$B11)*(③労働時間!$B$5:$B$353="10月上旬")*(③労働時間!$J$5:$J$353))</f>
        <v>0</v>
      </c>
      <c r="AF11" s="382">
        <f>SUMPRODUCT((③労働時間!$A$5:$A$353=作業体系表!$B11)*(③労働時間!$B$5:$B$353="10月中旬")*(③労働時間!$J$5:$J$353))</f>
        <v>0</v>
      </c>
      <c r="AG11" s="382">
        <f>SUMPRODUCT((③労働時間!$A$5:$A$353=作業体系表!$B11)*(③労働時間!$B$5:$B$353="10月下旬")*(③労働時間!$J$5:$J$353))</f>
        <v>0</v>
      </c>
      <c r="AH11" s="382">
        <f>SUMPRODUCT((③労働時間!$A$5:$A$353=作業体系表!$B11)*(③労働時間!$B$5:$B$353="11月上旬")*(③労働時間!$J$5:$J$353))</f>
        <v>0</v>
      </c>
      <c r="AI11" s="382">
        <f>SUMPRODUCT((③労働時間!$A$5:$A$353=作業体系表!$B11)*(③労働時間!$B$5:$B$353="11月中旬")*(③労働時間!$J$5:$J$353))</f>
        <v>0</v>
      </c>
      <c r="AJ11" s="382">
        <f>SUMPRODUCT((③労働時間!$A$5:$A$353=作業体系表!$B11)*(③労働時間!$B$5:$B$353="11月下旬")*(③労働時間!$J$5:$J$353))</f>
        <v>0.99206349206349209</v>
      </c>
      <c r="AK11" s="382">
        <f>SUMPRODUCT((③労働時間!$A$5:$A$353=作業体系表!$B11)*(③労働時間!$B$5:$B$353="12月上旬")*(③労働時間!$J$5:$J$353))</f>
        <v>0</v>
      </c>
      <c r="AL11" s="382">
        <f>SUMPRODUCT((③労働時間!$A$5:$A$353=作業体系表!$B11)*(③労働時間!$B$5:$B$353="12月中旬")*(③労働時間!$J$5:$J$353))</f>
        <v>0</v>
      </c>
      <c r="AM11" s="384">
        <f>SUMPRODUCT((③労働時間!$A$5:$A$353=作業体系表!$B11)*(③労働時間!$B$5:$B$353="12月下旬")*(③労働時間!$J$5:$J$353))</f>
        <v>0</v>
      </c>
      <c r="AN11" s="385">
        <f t="shared" si="0"/>
        <v>0.99206349206349209</v>
      </c>
      <c r="AP11" s="10"/>
      <c r="AQ11" s="10"/>
      <c r="AR11" s="10"/>
    </row>
    <row r="12" spans="2:44" ht="15" customHeight="1">
      <c r="B12" s="708" t="str">
        <f>①技術体系!A9</f>
        <v>除草剤散布</v>
      </c>
      <c r="C12" s="709"/>
      <c r="D12" s="382">
        <f>SUMPRODUCT((③労働時間!$A$5:$A$353=作業体系表!$B12)*(③労働時間!$B$5:$B$353="1月上旬")*(③労働時間!$J$5:$J$353))</f>
        <v>0</v>
      </c>
      <c r="E12" s="382">
        <f>SUMPRODUCT((③労働時間!$A$5:$A$353=作業体系表!$B12)*(③労働時間!$B$5:$B$353="1月中旬")*(③労働時間!$J$5:$J$353))</f>
        <v>0</v>
      </c>
      <c r="F12" s="382">
        <f>SUMPRODUCT((③労働時間!$A$5:$A$353=作業体系表!$B12)*(③労働時間!$B$5:$B$353="1月下旬")*(③労働時間!$J$5:$J$353))</f>
        <v>0</v>
      </c>
      <c r="G12" s="382">
        <f>SUMPRODUCT((③労働時間!$A$5:$A$353=作業体系表!$B12)*(③労働時間!$B$5:$B$353="2月上旬")*(③労働時間!$J$5:$J$353))</f>
        <v>0</v>
      </c>
      <c r="H12" s="382">
        <f>SUMPRODUCT((③労働時間!$A$5:$A$353=作業体系表!$B12)*(③労働時間!$B$5:$B$353="2月中旬")*(③労働時間!$J$5:$J$353))</f>
        <v>0</v>
      </c>
      <c r="I12" s="382">
        <f>SUMPRODUCT((③労働時間!$A$5:$A$353=作業体系表!$B12)*(③労働時間!$B$5:$B$353="2月下旬")*(③労働時間!$J$5:$J$353))</f>
        <v>0</v>
      </c>
      <c r="J12" s="382">
        <f>SUMPRODUCT((③労働時間!$A$5:$A$353=作業体系表!$B12)*(③労働時間!$B$5:$B$353="3月上旬")*(③労働時間!$J$5:$J$353))</f>
        <v>0</v>
      </c>
      <c r="K12" s="382">
        <f>SUMPRODUCT((③労働時間!$A$5:$A$353=作業体系表!$B12)*(③労働時間!$B$5:$B$353="3月中旬")*(③労働時間!$J$5:$J$353))</f>
        <v>0</v>
      </c>
      <c r="L12" s="382">
        <f>SUMPRODUCT((③労働時間!$A$5:$A$353=作業体系表!$B12)*(③労働時間!$B$5:$B$353="3月下旬")*(③労働時間!$J$5:$J$353))</f>
        <v>0</v>
      </c>
      <c r="M12" s="382">
        <f>SUMPRODUCT((③労働時間!$A$5:$A$353=作業体系表!$B12)*(③労働時間!$B$5:$B$353="4月上旬")*(③労働時間!$J$5:$J$353))</f>
        <v>0</v>
      </c>
      <c r="N12" s="382">
        <f>SUMPRODUCT((③労働時間!$A$5:$A$353=作業体系表!$B12)*(③労働時間!$B$5:$B$353="4月中旬")*(③労働時間!$J$5:$J$353))</f>
        <v>0</v>
      </c>
      <c r="O12" s="382">
        <f>SUMPRODUCT((③労働時間!$A$5:$A$353=作業体系表!$B12)*(③労働時間!$B$5:$B$353="4月下旬")*(③労働時間!$J$5:$J$353))</f>
        <v>0</v>
      </c>
      <c r="P12" s="383">
        <f>SUMPRODUCT((③労働時間!$A$5:$A$353=作業体系表!$B12)*(③労働時間!$B$5:$B$353="5月上旬")*(③労働時間!$J$5:$J$353))</f>
        <v>0</v>
      </c>
      <c r="Q12" s="382">
        <f>SUMPRODUCT((③労働時間!$A$5:$A$353=作業体系表!$B12)*(③労働時間!$B$5:$B$353="5月中旬")*(③労働時間!$J$5:$J$353))</f>
        <v>0</v>
      </c>
      <c r="R12" s="382">
        <f>SUMPRODUCT((③労働時間!$A$5:$A$353=作業体系表!$B12)*(③労働時間!$B$5:$B$353="5月下旬")*(③労働時間!$J$5:$J$353))</f>
        <v>0</v>
      </c>
      <c r="S12" s="382">
        <f>SUMPRODUCT((③労働時間!$A$5:$A$353=作業体系表!$B12)*(③労働時間!$B$5:$B$353="6月上旬")*(③労働時間!$J$5:$J$353))</f>
        <v>0</v>
      </c>
      <c r="T12" s="382">
        <f>SUMPRODUCT((③労働時間!$A$5:$A$353=作業体系表!$B12)*(③労働時間!$B$5:$B$353="6月中旬")*(③労働時間!$J$5:$J$353))</f>
        <v>0</v>
      </c>
      <c r="U12" s="382">
        <f>SUMPRODUCT((③労働時間!$A$5:$A$353=作業体系表!$B12)*(③労働時間!$B$5:$B$353="6月下旬")*(③労働時間!$J$5:$J$353))</f>
        <v>0</v>
      </c>
      <c r="V12" s="382">
        <f>SUMPRODUCT((③労働時間!$A$5:$A$353=作業体系表!$B12)*(③労働時間!$B$5:$B$353="7月上旬")*(③労働時間!$J$5:$J$353))</f>
        <v>0</v>
      </c>
      <c r="W12" s="382">
        <f>SUMPRODUCT((③労働時間!$A$5:$A$353=作業体系表!$B12)*(③労働時間!$B$5:$B$353="7月中旬")*(③労働時間!$J$5:$J$353))</f>
        <v>0</v>
      </c>
      <c r="X12" s="382">
        <f>SUMPRODUCT((③労働時間!$A$5:$A$353=作業体系表!$B12)*(③労働時間!$B$5:$B$353="7月下旬")*(③労働時間!$J$5:$J$353))</f>
        <v>0</v>
      </c>
      <c r="Y12" s="382">
        <f>SUMPRODUCT((③労働時間!$A$5:$A$353=作業体系表!$B12)*(③労働時間!$B$5:$B$353="8月上旬")*(③労働時間!$J$5:$J$353))</f>
        <v>0</v>
      </c>
      <c r="Z12" s="382">
        <f>SUMPRODUCT((③労働時間!$A$5:$A$353=作業体系表!$B12)*(③労働時間!$B$5:$B$353="8月中旬")*(③労働時間!$J$5:$J$353))</f>
        <v>0</v>
      </c>
      <c r="AA12" s="382">
        <f>SUMPRODUCT((③労働時間!$A$5:$A$353=作業体系表!$B12)*(③労働時間!$B$5:$B$353="8月下旬")*(③労働時間!$J$5:$J$353))</f>
        <v>0</v>
      </c>
      <c r="AB12" s="383">
        <f>SUMPRODUCT((③労働時間!$A$5:$A$353=作業体系表!$B12)*(③労働時間!$B$5:$B$353="9月上旬")*(③労働時間!$J$5:$J$353))</f>
        <v>0</v>
      </c>
      <c r="AC12" s="382">
        <f>SUMPRODUCT((③労働時間!$A$5:$A$353=作業体系表!$B12)*(③労働時間!$B$5:$B$353="9月中旬")*(③労働時間!$J$5:$J$353))</f>
        <v>0</v>
      </c>
      <c r="AD12" s="382">
        <f>SUMPRODUCT((③労働時間!$A$5:$A$353=作業体系表!$B12)*(③労働時間!$B$5:$B$353="9月下旬")*(③労働時間!$J$5:$J$353))</f>
        <v>0</v>
      </c>
      <c r="AE12" s="382">
        <f>SUMPRODUCT((③労働時間!$A$5:$A$353=作業体系表!$B12)*(③労働時間!$B$5:$B$353="10月上旬")*(③労働時間!$J$5:$J$353))</f>
        <v>0</v>
      </c>
      <c r="AF12" s="382">
        <f>SUMPRODUCT((③労働時間!$A$5:$A$353=作業体系表!$B12)*(③労働時間!$B$5:$B$353="10月中旬")*(③労働時間!$J$5:$J$353))</f>
        <v>0</v>
      </c>
      <c r="AG12" s="382">
        <f>SUMPRODUCT((③労働時間!$A$5:$A$353=作業体系表!$B12)*(③労働時間!$B$5:$B$353="10月下旬")*(③労働時間!$J$5:$J$353))</f>
        <v>0</v>
      </c>
      <c r="AH12" s="382">
        <f>SUMPRODUCT((③労働時間!$A$5:$A$353=作業体系表!$B12)*(③労働時間!$B$5:$B$353="11月上旬")*(③労働時間!$J$5:$J$353))</f>
        <v>0</v>
      </c>
      <c r="AI12" s="382">
        <f>SUMPRODUCT((③労働時間!$A$5:$A$353=作業体系表!$B12)*(③労働時間!$B$5:$B$353="11月中旬")*(③労働時間!$J$5:$J$353))</f>
        <v>0</v>
      </c>
      <c r="AJ12" s="382">
        <f>SUMPRODUCT((③労働時間!$A$5:$A$353=作業体系表!$B12)*(③労働時間!$B$5:$B$353="11月下旬")*(③労働時間!$J$5:$J$353))</f>
        <v>0.20525451559934321</v>
      </c>
      <c r="AK12" s="382">
        <f>SUMPRODUCT((③労働時間!$A$5:$A$353=作業体系表!$B12)*(③労働時間!$B$5:$B$353="12月上旬")*(③労働時間!$J$5:$J$353))</f>
        <v>0</v>
      </c>
      <c r="AL12" s="382">
        <f>SUMPRODUCT((③労働時間!$A$5:$A$353=作業体系表!$B12)*(③労働時間!$B$5:$B$353="12月中旬")*(③労働時間!$J$5:$J$353))</f>
        <v>0</v>
      </c>
      <c r="AM12" s="384">
        <f>SUMPRODUCT((③労働時間!$A$5:$A$353=作業体系表!$B12)*(③労働時間!$B$5:$B$353="12月下旬")*(③労働時間!$J$5:$J$353))</f>
        <v>0</v>
      </c>
      <c r="AN12" s="385">
        <f t="shared" si="0"/>
        <v>0.20525451559934321</v>
      </c>
    </row>
    <row r="13" spans="2:44" ht="15" customHeight="1">
      <c r="B13" s="708" t="str">
        <f>①技術体系!A10</f>
        <v>病害虫防除・追肥</v>
      </c>
      <c r="C13" s="709"/>
      <c r="D13" s="382">
        <f>SUMPRODUCT((③労働時間!$A$5:$A$353=作業体系表!$B13)*(③労働時間!$B$5:$B$353="1月上旬")*(③労働時間!$J$5:$J$353))</f>
        <v>0</v>
      </c>
      <c r="E13" s="382">
        <f>SUMPRODUCT((③労働時間!$A$5:$A$353=作業体系表!$B13)*(③労働時間!$B$5:$B$353="1月中旬")*(③労働時間!$J$5:$J$353))</f>
        <v>0</v>
      </c>
      <c r="F13" s="382">
        <f>SUMPRODUCT((③労働時間!$A$5:$A$353=作業体系表!$B13)*(③労働時間!$B$5:$B$353="1月下旬")*(③労働時間!$J$5:$J$353))</f>
        <v>0</v>
      </c>
      <c r="G13" s="382">
        <f>SUMPRODUCT((③労働時間!$A$5:$A$353=作業体系表!$B13)*(③労働時間!$B$5:$B$353="2月上旬")*(③労働時間!$J$5:$J$353))</f>
        <v>0</v>
      </c>
      <c r="H13" s="382">
        <f>SUMPRODUCT((③労働時間!$A$5:$A$353=作業体系表!$B13)*(③労働時間!$B$5:$B$353="2月中旬")*(③労働時間!$J$5:$J$353))</f>
        <v>0</v>
      </c>
      <c r="I13" s="382">
        <f>SUMPRODUCT((③労働時間!$A$5:$A$353=作業体系表!$B13)*(③労働時間!$B$5:$B$353="2月下旬")*(③労働時間!$J$5:$J$353))</f>
        <v>0</v>
      </c>
      <c r="J13" s="382">
        <f>SUMPRODUCT((③労働時間!$A$5:$A$353=作業体系表!$B13)*(③労働時間!$B$5:$B$353="3月上旬")*(③労働時間!$J$5:$J$353))</f>
        <v>0</v>
      </c>
      <c r="K13" s="382">
        <f>SUMPRODUCT((③労働時間!$A$5:$A$353=作業体系表!$B13)*(③労働時間!$B$5:$B$353="3月中旬")*(③労働時間!$J$5:$J$353))</f>
        <v>0</v>
      </c>
      <c r="L13" s="382">
        <f>SUMPRODUCT((③労働時間!$A$5:$A$353=作業体系表!$B13)*(③労働時間!$B$5:$B$353="3月下旬")*(③労働時間!$J$5:$J$353))</f>
        <v>0</v>
      </c>
      <c r="M13" s="382">
        <f>SUMPRODUCT((③労働時間!$A$5:$A$353=作業体系表!$B13)*(③労働時間!$B$5:$B$353="4月上旬")*(③労働時間!$J$5:$J$353))</f>
        <v>0</v>
      </c>
      <c r="N13" s="382">
        <f>SUMPRODUCT((③労働時間!$A$5:$A$353=作業体系表!$B13)*(③労働時間!$B$5:$B$353="4月中旬")*(③労働時間!$J$5:$J$353))</f>
        <v>0</v>
      </c>
      <c r="O13" s="382">
        <f>SUMPRODUCT((③労働時間!$A$5:$A$353=作業体系表!$B13)*(③労働時間!$B$5:$B$353="4月下旬")*(③労働時間!$J$5:$J$353))</f>
        <v>0.20525451559934321</v>
      </c>
      <c r="P13" s="383">
        <f>SUMPRODUCT((③労働時間!$A$5:$A$353=作業体系表!$B13)*(③労働時間!$B$5:$B$353="5月上旬")*(③労働時間!$J$5:$J$353))</f>
        <v>0.20525451559934321</v>
      </c>
      <c r="Q13" s="382">
        <f>SUMPRODUCT((③労働時間!$A$5:$A$353=作業体系表!$B13)*(③労働時間!$B$5:$B$353="5月中旬")*(③労働時間!$J$5:$J$353))</f>
        <v>0</v>
      </c>
      <c r="R13" s="382">
        <f>SUMPRODUCT((③労働時間!$A$5:$A$353=作業体系表!$B13)*(③労働時間!$B$5:$B$353="5月下旬")*(③労働時間!$J$5:$J$353))</f>
        <v>0</v>
      </c>
      <c r="S13" s="382">
        <f>SUMPRODUCT((③労働時間!$A$5:$A$353=作業体系表!$B13)*(③労働時間!$B$5:$B$353="6月上旬")*(③労働時間!$J$5:$J$353))</f>
        <v>0</v>
      </c>
      <c r="T13" s="382">
        <f>SUMPRODUCT((③労働時間!$A$5:$A$353=作業体系表!$B13)*(③労働時間!$B$5:$B$353="6月中旬")*(③労働時間!$J$5:$J$353))</f>
        <v>0</v>
      </c>
      <c r="U13" s="382">
        <f>SUMPRODUCT((③労働時間!$A$5:$A$353=作業体系表!$B13)*(③労働時間!$B$5:$B$353="6月下旬")*(③労働時間!$J$5:$J$353))</f>
        <v>0</v>
      </c>
      <c r="V13" s="382">
        <f>SUMPRODUCT((③労働時間!$A$5:$A$353=作業体系表!$B13)*(③労働時間!$B$5:$B$353="7月上旬")*(③労働時間!$J$5:$J$353))</f>
        <v>0</v>
      </c>
      <c r="W13" s="382">
        <f>SUMPRODUCT((③労働時間!$A$5:$A$353=作業体系表!$B13)*(③労働時間!$B$5:$B$353="7月中旬")*(③労働時間!$J$5:$J$353))</f>
        <v>0</v>
      </c>
      <c r="X13" s="382">
        <f>SUMPRODUCT((③労働時間!$A$5:$A$353=作業体系表!$B13)*(③労働時間!$B$5:$B$353="7月下旬")*(③労働時間!$J$5:$J$353))</f>
        <v>0</v>
      </c>
      <c r="Y13" s="382">
        <f>SUMPRODUCT((③労働時間!$A$5:$A$353=作業体系表!$B13)*(③労働時間!$B$5:$B$353="8月上旬")*(③労働時間!$J$5:$J$353))</f>
        <v>0</v>
      </c>
      <c r="Z13" s="382">
        <f>SUMPRODUCT((③労働時間!$A$5:$A$353=作業体系表!$B13)*(③労働時間!$B$5:$B$353="8月中旬")*(③労働時間!$J$5:$J$353))</f>
        <v>0</v>
      </c>
      <c r="AA13" s="382">
        <f>SUMPRODUCT((③労働時間!$A$5:$A$353=作業体系表!$B13)*(③労働時間!$B$5:$B$353="8月下旬")*(③労働時間!$J$5:$J$353))</f>
        <v>0</v>
      </c>
      <c r="AB13" s="383">
        <f>SUMPRODUCT((③労働時間!$A$5:$A$353=作業体系表!$B13)*(③労働時間!$B$5:$B$353="9月上旬")*(③労働時間!$J$5:$J$353))</f>
        <v>0</v>
      </c>
      <c r="AC13" s="382">
        <f>SUMPRODUCT((③労働時間!$A$5:$A$353=作業体系表!$B13)*(③労働時間!$B$5:$B$353="9月中旬")*(③労働時間!$J$5:$J$353))</f>
        <v>0</v>
      </c>
      <c r="AD13" s="382">
        <f>SUMPRODUCT((③労働時間!$A$5:$A$353=作業体系表!$B13)*(③労働時間!$B$5:$B$353="9月下旬")*(③労働時間!$J$5:$J$353))</f>
        <v>0</v>
      </c>
      <c r="AE13" s="382">
        <f>SUMPRODUCT((③労働時間!$A$5:$A$353=作業体系表!$B13)*(③労働時間!$B$5:$B$353="10月上旬")*(③労働時間!$J$5:$J$353))</f>
        <v>0</v>
      </c>
      <c r="AF13" s="382">
        <f>SUMPRODUCT((③労働時間!$A$5:$A$353=作業体系表!$B13)*(③労働時間!$B$5:$B$353="10月中旬")*(③労働時間!$J$5:$J$353))</f>
        <v>0</v>
      </c>
      <c r="AG13" s="382">
        <f>SUMPRODUCT((③労働時間!$A$5:$A$353=作業体系表!$B13)*(③労働時間!$B$5:$B$353="10月下旬")*(③労働時間!$J$5:$J$353))</f>
        <v>0</v>
      </c>
      <c r="AH13" s="382">
        <f>SUMPRODUCT((③労働時間!$A$5:$A$353=作業体系表!$B13)*(③労働時間!$B$5:$B$353="11月上旬")*(③労働時間!$J$5:$J$353))</f>
        <v>0</v>
      </c>
      <c r="AI13" s="382">
        <f>SUMPRODUCT((③労働時間!$A$5:$A$353=作業体系表!$B13)*(③労働時間!$B$5:$B$353="11月中旬")*(③労働時間!$J$5:$J$353))</f>
        <v>0</v>
      </c>
      <c r="AJ13" s="382">
        <f>SUMPRODUCT((③労働時間!$A$5:$A$353=作業体系表!$B13)*(③労働時間!$B$5:$B$353="11月下旬")*(③労働時間!$J$5:$J$353))</f>
        <v>0</v>
      </c>
      <c r="AK13" s="382">
        <f>SUMPRODUCT((③労働時間!$A$5:$A$353=作業体系表!$B13)*(③労働時間!$B$5:$B$353="12月上旬")*(③労働時間!$J$5:$J$353))</f>
        <v>0</v>
      </c>
      <c r="AL13" s="382">
        <f>SUMPRODUCT((③労働時間!$A$5:$A$353=作業体系表!$B13)*(③労働時間!$B$5:$B$353="12月中旬")*(③労働時間!$J$5:$J$353))</f>
        <v>0</v>
      </c>
      <c r="AM13" s="384">
        <f>SUMPRODUCT((③労働時間!$A$5:$A$353=作業体系表!$B13)*(③労働時間!$B$5:$B$353="12月下旬")*(③労働時間!$J$5:$J$353))</f>
        <v>0</v>
      </c>
      <c r="AN13" s="385">
        <f t="shared" si="0"/>
        <v>0.41050903119868642</v>
      </c>
    </row>
    <row r="14" spans="2:44" ht="15" customHeight="1">
      <c r="B14" s="708" t="str">
        <f>①技術体系!A11</f>
        <v>踏圧</v>
      </c>
      <c r="C14" s="709"/>
      <c r="D14" s="382">
        <f>SUMPRODUCT((③労働時間!$A$5:$A$353=作業体系表!$B14)*(③労働時間!$B$5:$B$353="1月上旬")*(③労働時間!$J$5:$J$353))</f>
        <v>0</v>
      </c>
      <c r="E14" s="382">
        <f>SUMPRODUCT((③労働時間!$A$5:$A$353=作業体系表!$B14)*(③労働時間!$B$5:$B$353="1月中旬")*(③労働時間!$J$5:$J$353))</f>
        <v>0</v>
      </c>
      <c r="F14" s="382">
        <f>SUMPRODUCT((③労働時間!$A$5:$A$353=作業体系表!$B14)*(③労働時間!$B$5:$B$353="1月下旬")*(③労働時間!$J$5:$J$353))</f>
        <v>0.20833333333333331</v>
      </c>
      <c r="G14" s="382">
        <f>SUMPRODUCT((③労働時間!$A$5:$A$353=作業体系表!$B14)*(③労働時間!$B$5:$B$353="2月上旬")*(③労働時間!$J$5:$J$353))</f>
        <v>0.20833333333333331</v>
      </c>
      <c r="H14" s="382">
        <f>SUMPRODUCT((③労働時間!$A$5:$A$353=作業体系表!$B14)*(③労働時間!$B$5:$B$353="2月中旬")*(③労働時間!$J$5:$J$353))</f>
        <v>0</v>
      </c>
      <c r="I14" s="382">
        <f>SUMPRODUCT((③労働時間!$A$5:$A$353=作業体系表!$B14)*(③労働時間!$B$5:$B$353="2月下旬")*(③労働時間!$J$5:$J$353))</f>
        <v>0.20833333333333331</v>
      </c>
      <c r="J14" s="382">
        <f>SUMPRODUCT((③労働時間!$A$5:$A$353=作業体系表!$B14)*(③労働時間!$B$5:$B$353="3月上旬")*(③労働時間!$J$5:$J$353))</f>
        <v>0</v>
      </c>
      <c r="K14" s="382">
        <f>SUMPRODUCT((③労働時間!$A$5:$A$353=作業体系表!$B14)*(③労働時間!$B$5:$B$353="3月中旬")*(③労働時間!$J$5:$J$353))</f>
        <v>0</v>
      </c>
      <c r="L14" s="382">
        <f>SUMPRODUCT((③労働時間!$A$5:$A$353=作業体系表!$B14)*(③労働時間!$B$5:$B$353="3月下旬")*(③労働時間!$J$5:$J$353))</f>
        <v>0</v>
      </c>
      <c r="M14" s="382">
        <f>SUMPRODUCT((③労働時間!$A$5:$A$353=作業体系表!$B14)*(③労働時間!$B$5:$B$353="4月上旬")*(③労働時間!$J$5:$J$353))</f>
        <v>0</v>
      </c>
      <c r="N14" s="382">
        <f>SUMPRODUCT((③労働時間!$A$5:$A$353=作業体系表!$B14)*(③労働時間!$B$5:$B$353="4月中旬")*(③労働時間!$J$5:$J$353))</f>
        <v>0</v>
      </c>
      <c r="O14" s="382">
        <f>SUMPRODUCT((③労働時間!$A$5:$A$353=作業体系表!$B14)*(③労働時間!$B$5:$B$353="4月下旬")*(③労働時間!$J$5:$J$353))</f>
        <v>0</v>
      </c>
      <c r="P14" s="383">
        <f>SUMPRODUCT((③労働時間!$A$5:$A$353=作業体系表!$B14)*(③労働時間!$B$5:$B$353="5月上旬")*(③労働時間!$J$5:$J$353))</f>
        <v>0</v>
      </c>
      <c r="Q14" s="382">
        <f>SUMPRODUCT((③労働時間!$A$5:$A$353=作業体系表!$B14)*(③労働時間!$B$5:$B$353="5月中旬")*(③労働時間!$J$5:$J$353))</f>
        <v>0</v>
      </c>
      <c r="R14" s="382">
        <f>SUMPRODUCT((③労働時間!$A$5:$A$353=作業体系表!$B14)*(③労働時間!$B$5:$B$353="5月下旬")*(③労働時間!$J$5:$J$353))</f>
        <v>0</v>
      </c>
      <c r="S14" s="382">
        <f>SUMPRODUCT((③労働時間!$A$5:$A$353=作業体系表!$B14)*(③労働時間!$B$5:$B$353="6月上旬")*(③労働時間!$J$5:$J$353))</f>
        <v>0</v>
      </c>
      <c r="T14" s="382">
        <f>SUMPRODUCT((③労働時間!$A$5:$A$353=作業体系表!$B14)*(③労働時間!$B$5:$B$353="6月中旬")*(③労働時間!$J$5:$J$353))</f>
        <v>0</v>
      </c>
      <c r="U14" s="382">
        <f>SUMPRODUCT((③労働時間!$A$5:$A$353=作業体系表!$B14)*(③労働時間!$B$5:$B$353="6月下旬")*(③労働時間!$J$5:$J$353))</f>
        <v>0</v>
      </c>
      <c r="V14" s="382">
        <f>SUMPRODUCT((③労働時間!$A$5:$A$353=作業体系表!$B14)*(③労働時間!$B$5:$B$353="7月上旬")*(③労働時間!$J$5:$J$353))</f>
        <v>0</v>
      </c>
      <c r="W14" s="382">
        <f>SUMPRODUCT((③労働時間!$A$5:$A$353=作業体系表!$B14)*(③労働時間!$B$5:$B$353="7月中旬")*(③労働時間!$J$5:$J$353))</f>
        <v>0</v>
      </c>
      <c r="X14" s="382">
        <f>SUMPRODUCT((③労働時間!$A$5:$A$353=作業体系表!$B14)*(③労働時間!$B$5:$B$353="7月下旬")*(③労働時間!$J$5:$J$353))</f>
        <v>0</v>
      </c>
      <c r="Y14" s="382">
        <f>SUMPRODUCT((③労働時間!$A$5:$A$353=作業体系表!$B14)*(③労働時間!$B$5:$B$353="8月上旬")*(③労働時間!$J$5:$J$353))</f>
        <v>0</v>
      </c>
      <c r="Z14" s="382">
        <f>SUMPRODUCT((③労働時間!$A$5:$A$353=作業体系表!$B14)*(③労働時間!$B$5:$B$353="8月中旬")*(③労働時間!$J$5:$J$353))</f>
        <v>0</v>
      </c>
      <c r="AA14" s="382">
        <f>SUMPRODUCT((③労働時間!$A$5:$A$353=作業体系表!$B14)*(③労働時間!$B$5:$B$353="8月下旬")*(③労働時間!$J$5:$J$353))</f>
        <v>0</v>
      </c>
      <c r="AB14" s="383">
        <f>SUMPRODUCT((③労働時間!$A$5:$A$353=作業体系表!$B14)*(③労働時間!$B$5:$B$353="9月上旬")*(③労働時間!$J$5:$J$353))</f>
        <v>0</v>
      </c>
      <c r="AC14" s="382">
        <f>SUMPRODUCT((③労働時間!$A$5:$A$353=作業体系表!$B14)*(③労働時間!$B$5:$B$353="9月中旬")*(③労働時間!$J$5:$J$353))</f>
        <v>0</v>
      </c>
      <c r="AD14" s="382">
        <f>SUMPRODUCT((③労働時間!$A$5:$A$353=作業体系表!$B14)*(③労働時間!$B$5:$B$353="9月下旬")*(③労働時間!$J$5:$J$353))</f>
        <v>0</v>
      </c>
      <c r="AE14" s="382">
        <f>SUMPRODUCT((③労働時間!$A$5:$A$353=作業体系表!$B14)*(③労働時間!$B$5:$B$353="10月上旬")*(③労働時間!$J$5:$J$353))</f>
        <v>0</v>
      </c>
      <c r="AF14" s="382">
        <f>SUMPRODUCT((③労働時間!$A$5:$A$353=作業体系表!$B14)*(③労働時間!$B$5:$B$353="10月中旬")*(③労働時間!$J$5:$J$353))</f>
        <v>0</v>
      </c>
      <c r="AG14" s="382">
        <f>SUMPRODUCT((③労働時間!$A$5:$A$353=作業体系表!$B14)*(③労働時間!$B$5:$B$353="10月下旬")*(③労働時間!$J$5:$J$353))</f>
        <v>0</v>
      </c>
      <c r="AH14" s="382">
        <f>SUMPRODUCT((③労働時間!$A$5:$A$353=作業体系表!$B14)*(③労働時間!$B$5:$B$353="11月上旬")*(③労働時間!$J$5:$J$353))</f>
        <v>0</v>
      </c>
      <c r="AI14" s="382">
        <f>SUMPRODUCT((③労働時間!$A$5:$A$353=作業体系表!$B14)*(③労働時間!$B$5:$B$353="11月中旬")*(③労働時間!$J$5:$J$353))</f>
        <v>0</v>
      </c>
      <c r="AJ14" s="382">
        <f>SUMPRODUCT((③労働時間!$A$5:$A$353=作業体系表!$B14)*(③労働時間!$B$5:$B$353="11月下旬")*(③労働時間!$J$5:$J$353))</f>
        <v>0</v>
      </c>
      <c r="AK14" s="382">
        <f>SUMPRODUCT((③労働時間!$A$5:$A$353=作業体系表!$B14)*(③労働時間!$B$5:$B$353="12月上旬")*(③労働時間!$J$5:$J$353))</f>
        <v>0</v>
      </c>
      <c r="AL14" s="382">
        <f>SUMPRODUCT((③労働時間!$A$5:$A$353=作業体系表!$B14)*(③労働時間!$B$5:$B$353="12月中旬")*(③労働時間!$J$5:$J$353))</f>
        <v>0</v>
      </c>
      <c r="AM14" s="384">
        <f>SUMPRODUCT((③労働時間!$A$5:$A$353=作業体系表!$B14)*(③労働時間!$B$5:$B$353="12月下旬")*(③労働時間!$J$5:$J$353))</f>
        <v>0</v>
      </c>
      <c r="AN14" s="385">
        <f t="shared" si="0"/>
        <v>0.625</v>
      </c>
    </row>
    <row r="15" spans="2:44" ht="15" customHeight="1">
      <c r="B15" s="708" t="str">
        <f>①技術体系!A12</f>
        <v>中耕</v>
      </c>
      <c r="C15" s="709"/>
      <c r="D15" s="382">
        <f>SUMPRODUCT((③労働時間!$A$5:$A$353=作業体系表!$B15)*(③労働時間!$B$5:$B$353="1月上旬")*(③労働時間!$J$5:$J$353))</f>
        <v>0</v>
      </c>
      <c r="E15" s="382">
        <f>SUMPRODUCT((③労働時間!$A$5:$A$353=作業体系表!$B15)*(③労働時間!$B$5:$B$353="1月中旬")*(③労働時間!$J$5:$J$353))</f>
        <v>0</v>
      </c>
      <c r="F15" s="382">
        <f>SUMPRODUCT((③労働時間!$A$5:$A$353=作業体系表!$B15)*(③労働時間!$B$5:$B$353="1月下旬")*(③労働時間!$J$5:$J$353))</f>
        <v>0</v>
      </c>
      <c r="G15" s="382">
        <f>SUMPRODUCT((③労働時間!$A$5:$A$353=作業体系表!$B15)*(③労働時間!$B$5:$B$353="2月上旬")*(③労働時間!$J$5:$J$353))</f>
        <v>0</v>
      </c>
      <c r="H15" s="382">
        <f>SUMPRODUCT((③労働時間!$A$5:$A$353=作業体系表!$B15)*(③労働時間!$B$5:$B$353="2月中旬")*(③労働時間!$J$5:$J$353))</f>
        <v>0.57870370370370372</v>
      </c>
      <c r="I15" s="382">
        <f>SUMPRODUCT((③労働時間!$A$5:$A$353=作業体系表!$B15)*(③労働時間!$B$5:$B$353="2月下旬")*(③労働時間!$J$5:$J$353))</f>
        <v>0</v>
      </c>
      <c r="J15" s="382">
        <f>SUMPRODUCT((③労働時間!$A$5:$A$353=作業体系表!$B15)*(③労働時間!$B$5:$B$353="3月上旬")*(③労働時間!$J$5:$J$353))</f>
        <v>0</v>
      </c>
      <c r="K15" s="382">
        <f>SUMPRODUCT((③労働時間!$A$5:$A$353=作業体系表!$B15)*(③労働時間!$B$5:$B$353="3月中旬")*(③労働時間!$J$5:$J$353))</f>
        <v>0</v>
      </c>
      <c r="L15" s="382">
        <f>SUMPRODUCT((③労働時間!$A$5:$A$353=作業体系表!$B15)*(③労働時間!$B$5:$B$353="3月下旬")*(③労働時間!$J$5:$J$353))</f>
        <v>0</v>
      </c>
      <c r="M15" s="382">
        <f>SUMPRODUCT((③労働時間!$A$5:$A$353=作業体系表!$B15)*(③労働時間!$B$5:$B$353="4月上旬")*(③労働時間!$J$5:$J$353))</f>
        <v>0</v>
      </c>
      <c r="N15" s="382">
        <f>SUMPRODUCT((③労働時間!$A$5:$A$353=作業体系表!$B15)*(③労働時間!$B$5:$B$353="4月中旬")*(③労働時間!$J$5:$J$353))</f>
        <v>0</v>
      </c>
      <c r="O15" s="382">
        <f>SUMPRODUCT((③労働時間!$A$5:$A$353=作業体系表!$B15)*(③労働時間!$B$5:$B$353="4月下旬")*(③労働時間!$J$5:$J$353))</f>
        <v>0</v>
      </c>
      <c r="P15" s="383">
        <f>SUMPRODUCT((③労働時間!$A$5:$A$353=作業体系表!$B15)*(③労働時間!$B$5:$B$353="5月上旬")*(③労働時間!$J$5:$J$353))</f>
        <v>0</v>
      </c>
      <c r="Q15" s="382">
        <f>SUMPRODUCT((③労働時間!$A$5:$A$353=作業体系表!$B15)*(③労働時間!$B$5:$B$353="5月中旬")*(③労働時間!$J$5:$J$353))</f>
        <v>0</v>
      </c>
      <c r="R15" s="382">
        <f>SUMPRODUCT((③労働時間!$A$5:$A$353=作業体系表!$B15)*(③労働時間!$B$5:$B$353="5月下旬")*(③労働時間!$J$5:$J$353))</f>
        <v>0</v>
      </c>
      <c r="S15" s="382">
        <f>SUMPRODUCT((③労働時間!$A$5:$A$353=作業体系表!$B15)*(③労働時間!$B$5:$B$353="6月上旬")*(③労働時間!$J$5:$J$353))</f>
        <v>0</v>
      </c>
      <c r="T15" s="382">
        <f>SUMPRODUCT((③労働時間!$A$5:$A$353=作業体系表!$B15)*(③労働時間!$B$5:$B$353="6月中旬")*(③労働時間!$J$5:$J$353))</f>
        <v>0</v>
      </c>
      <c r="U15" s="382">
        <f>SUMPRODUCT((③労働時間!$A$5:$A$353=作業体系表!$B15)*(③労働時間!$B$5:$B$353="6月下旬")*(③労働時間!$J$5:$J$353))</f>
        <v>0</v>
      </c>
      <c r="V15" s="382">
        <f>SUMPRODUCT((③労働時間!$A$5:$A$353=作業体系表!$B15)*(③労働時間!$B$5:$B$353="7月上旬")*(③労働時間!$J$5:$J$353))</f>
        <v>0</v>
      </c>
      <c r="W15" s="382">
        <f>SUMPRODUCT((③労働時間!$A$5:$A$353=作業体系表!$B15)*(③労働時間!$B$5:$B$353="7月中旬")*(③労働時間!$J$5:$J$353))</f>
        <v>0</v>
      </c>
      <c r="X15" s="382">
        <f>SUMPRODUCT((③労働時間!$A$5:$A$353=作業体系表!$B15)*(③労働時間!$B$5:$B$353="7月下旬")*(③労働時間!$J$5:$J$353))</f>
        <v>0</v>
      </c>
      <c r="Y15" s="382">
        <f>SUMPRODUCT((③労働時間!$A$5:$A$353=作業体系表!$B15)*(③労働時間!$B$5:$B$353="8月上旬")*(③労働時間!$J$5:$J$353))</f>
        <v>0</v>
      </c>
      <c r="Z15" s="382">
        <f>SUMPRODUCT((③労働時間!$A$5:$A$353=作業体系表!$B15)*(③労働時間!$B$5:$B$353="8月中旬")*(③労働時間!$J$5:$J$353))</f>
        <v>0</v>
      </c>
      <c r="AA15" s="382">
        <f>SUMPRODUCT((③労働時間!$A$5:$A$353=作業体系表!$B15)*(③労働時間!$B$5:$B$353="8月下旬")*(③労働時間!$J$5:$J$353))</f>
        <v>0</v>
      </c>
      <c r="AB15" s="383">
        <f>SUMPRODUCT((③労働時間!$A$5:$A$353=作業体系表!$B15)*(③労働時間!$B$5:$B$353="9月上旬")*(③労働時間!$J$5:$J$353))</f>
        <v>0</v>
      </c>
      <c r="AC15" s="382">
        <f>SUMPRODUCT((③労働時間!$A$5:$A$353=作業体系表!$B15)*(③労働時間!$B$5:$B$353="9月中旬")*(③労働時間!$J$5:$J$353))</f>
        <v>0</v>
      </c>
      <c r="AD15" s="382">
        <f>SUMPRODUCT((③労働時間!$A$5:$A$353=作業体系表!$B15)*(③労働時間!$B$5:$B$353="9月下旬")*(③労働時間!$J$5:$J$353))</f>
        <v>0</v>
      </c>
      <c r="AE15" s="382">
        <f>SUMPRODUCT((③労働時間!$A$5:$A$353=作業体系表!$B15)*(③労働時間!$B$5:$B$353="10月上旬")*(③労働時間!$J$5:$J$353))</f>
        <v>0</v>
      </c>
      <c r="AF15" s="382">
        <f>SUMPRODUCT((③労働時間!$A$5:$A$353=作業体系表!$B15)*(③労働時間!$B$5:$B$353="10月中旬")*(③労働時間!$J$5:$J$353))</f>
        <v>0</v>
      </c>
      <c r="AG15" s="382">
        <f>SUMPRODUCT((③労働時間!$A$5:$A$353=作業体系表!$B15)*(③労働時間!$B$5:$B$353="10月下旬")*(③労働時間!$J$5:$J$353))</f>
        <v>0</v>
      </c>
      <c r="AH15" s="382">
        <f>SUMPRODUCT((③労働時間!$A$5:$A$353=作業体系表!$B15)*(③労働時間!$B$5:$B$353="11月上旬")*(③労働時間!$J$5:$J$353))</f>
        <v>0</v>
      </c>
      <c r="AI15" s="382">
        <f>SUMPRODUCT((③労働時間!$A$5:$A$353=作業体系表!$B15)*(③労働時間!$B$5:$B$353="11月中旬")*(③労働時間!$J$5:$J$353))</f>
        <v>0</v>
      </c>
      <c r="AJ15" s="382">
        <f>SUMPRODUCT((③労働時間!$A$5:$A$353=作業体系表!$B15)*(③労働時間!$B$5:$B$353="11月下旬")*(③労働時間!$J$5:$J$353))</f>
        <v>0</v>
      </c>
      <c r="AK15" s="382">
        <f>SUMPRODUCT((③労働時間!$A$5:$A$353=作業体系表!$B15)*(③労働時間!$B$5:$B$353="12月上旬")*(③労働時間!$J$5:$J$353))</f>
        <v>0</v>
      </c>
      <c r="AL15" s="382">
        <f>SUMPRODUCT((③労働時間!$A$5:$A$353=作業体系表!$B15)*(③労働時間!$B$5:$B$353="12月中旬")*(③労働時間!$J$5:$J$353))</f>
        <v>0</v>
      </c>
      <c r="AM15" s="384">
        <f>SUMPRODUCT((③労働時間!$A$5:$A$353=作業体系表!$B15)*(③労働時間!$B$5:$B$353="12月下旬")*(③労働時間!$J$5:$J$353))</f>
        <v>0</v>
      </c>
      <c r="AN15" s="385">
        <f t="shared" si="0"/>
        <v>0.57870370370370372</v>
      </c>
    </row>
    <row r="16" spans="2:44" ht="15" customHeight="1">
      <c r="B16" s="708" t="str">
        <f>①技術体系!A13</f>
        <v>溝上・土入</v>
      </c>
      <c r="C16" s="709"/>
      <c r="D16" s="382">
        <f>SUMPRODUCT((③労働時間!$A$5:$A$353=作業体系表!$B16)*(③労働時間!$B$5:$B$353="1月上旬")*(③労働時間!$J$5:$J$353))</f>
        <v>0</v>
      </c>
      <c r="E16" s="382">
        <f>SUMPRODUCT((③労働時間!$A$5:$A$353=作業体系表!$B16)*(③労働時間!$B$5:$B$353="1月中旬")*(③労働時間!$J$5:$J$353))</f>
        <v>0</v>
      </c>
      <c r="F16" s="382">
        <f>SUMPRODUCT((③労働時間!$A$5:$A$353=作業体系表!$B16)*(③労働時間!$B$5:$B$353="1月下旬")*(③労働時間!$J$5:$J$353))</f>
        <v>0</v>
      </c>
      <c r="G16" s="382">
        <f>SUMPRODUCT((③労働時間!$A$5:$A$353=作業体系表!$B16)*(③労働時間!$B$5:$B$353="2月上旬")*(③労働時間!$J$5:$J$353))</f>
        <v>0</v>
      </c>
      <c r="H16" s="382">
        <f>SUMPRODUCT((③労働時間!$A$5:$A$353=作業体系表!$B16)*(③労働時間!$B$5:$B$353="2月中旬")*(③労働時間!$J$5:$J$353))</f>
        <v>0</v>
      </c>
      <c r="I16" s="382">
        <f>SUMPRODUCT((③労働時間!$A$5:$A$353=作業体系表!$B16)*(③労働時間!$B$5:$B$353="2月下旬")*(③労働時間!$J$5:$J$353))</f>
        <v>0</v>
      </c>
      <c r="J16" s="382">
        <f>SUMPRODUCT((③労働時間!$A$5:$A$353=作業体系表!$B16)*(③労働時間!$B$5:$B$353="3月上旬")*(③労働時間!$J$5:$J$353))</f>
        <v>0.43787629994526556</v>
      </c>
      <c r="K16" s="382">
        <f>SUMPRODUCT((③労働時間!$A$5:$A$353=作業体系表!$B16)*(③労働時間!$B$5:$B$353="3月中旬")*(③労働時間!$J$5:$J$353))</f>
        <v>0.43787629994526556</v>
      </c>
      <c r="L16" s="382">
        <f>SUMPRODUCT((③労働時間!$A$5:$A$353=作業体系表!$B16)*(③労働時間!$B$5:$B$353="3月下旬")*(③労働時間!$J$5:$J$353))</f>
        <v>0</v>
      </c>
      <c r="M16" s="382">
        <f>SUMPRODUCT((③労働時間!$A$5:$A$353=作業体系表!$B16)*(③労働時間!$B$5:$B$353="4月上旬")*(③労働時間!$J$5:$J$353))</f>
        <v>0</v>
      </c>
      <c r="N16" s="382">
        <f>SUMPRODUCT((③労働時間!$A$5:$A$353=作業体系表!$B16)*(③労働時間!$B$5:$B$353="4月中旬")*(③労働時間!$J$5:$J$353))</f>
        <v>0</v>
      </c>
      <c r="O16" s="382">
        <f>SUMPRODUCT((③労働時間!$A$5:$A$353=作業体系表!$B16)*(③労働時間!$B$5:$B$353="4月下旬")*(③労働時間!$J$5:$J$353))</f>
        <v>0</v>
      </c>
      <c r="P16" s="383">
        <f>SUMPRODUCT((③労働時間!$A$5:$A$353=作業体系表!$B16)*(③労働時間!$B$5:$B$353="5月上旬")*(③労働時間!$J$5:$J$353))</f>
        <v>0</v>
      </c>
      <c r="Q16" s="382">
        <f>SUMPRODUCT((③労働時間!$A$5:$A$353=作業体系表!$B16)*(③労働時間!$B$5:$B$353="5月中旬")*(③労働時間!$J$5:$J$353))</f>
        <v>0</v>
      </c>
      <c r="R16" s="382">
        <f>SUMPRODUCT((③労働時間!$A$5:$A$353=作業体系表!$B16)*(③労働時間!$B$5:$B$353="5月下旬")*(③労働時間!$J$5:$J$353))</f>
        <v>0</v>
      </c>
      <c r="S16" s="382">
        <f>SUMPRODUCT((③労働時間!$A$5:$A$353=作業体系表!$B16)*(③労働時間!$B$5:$B$353="6月上旬")*(③労働時間!$J$5:$J$353))</f>
        <v>0</v>
      </c>
      <c r="T16" s="382">
        <f>SUMPRODUCT((③労働時間!$A$5:$A$353=作業体系表!$B16)*(③労働時間!$B$5:$B$353="6月中旬")*(③労働時間!$J$5:$J$353))</f>
        <v>0</v>
      </c>
      <c r="U16" s="382">
        <f>SUMPRODUCT((③労働時間!$A$5:$A$353=作業体系表!$B16)*(③労働時間!$B$5:$B$353="6月下旬")*(③労働時間!$J$5:$J$353))</f>
        <v>0</v>
      </c>
      <c r="V16" s="382">
        <f>SUMPRODUCT((③労働時間!$A$5:$A$353=作業体系表!$B16)*(③労働時間!$B$5:$B$353="7月上旬")*(③労働時間!$J$5:$J$353))</f>
        <v>0</v>
      </c>
      <c r="W16" s="382">
        <f>SUMPRODUCT((③労働時間!$A$5:$A$353=作業体系表!$B16)*(③労働時間!$B$5:$B$353="7月中旬")*(③労働時間!$J$5:$J$353))</f>
        <v>0</v>
      </c>
      <c r="X16" s="382">
        <f>SUMPRODUCT((③労働時間!$A$5:$A$353=作業体系表!$B16)*(③労働時間!$B$5:$B$353="7月下旬")*(③労働時間!$J$5:$J$353))</f>
        <v>0</v>
      </c>
      <c r="Y16" s="382">
        <f>SUMPRODUCT((③労働時間!$A$5:$A$353=作業体系表!$B16)*(③労働時間!$B$5:$B$353="8月上旬")*(③労働時間!$J$5:$J$353))</f>
        <v>0</v>
      </c>
      <c r="Z16" s="382">
        <f>SUMPRODUCT((③労働時間!$A$5:$A$353=作業体系表!$B16)*(③労働時間!$B$5:$B$353="8月中旬")*(③労働時間!$J$5:$J$353))</f>
        <v>0</v>
      </c>
      <c r="AA16" s="382">
        <f>SUMPRODUCT((③労働時間!$A$5:$A$353=作業体系表!$B16)*(③労働時間!$B$5:$B$353="8月下旬")*(③労働時間!$J$5:$J$353))</f>
        <v>0</v>
      </c>
      <c r="AB16" s="383">
        <f>SUMPRODUCT((③労働時間!$A$5:$A$353=作業体系表!$B16)*(③労働時間!$B$5:$B$353="9月上旬")*(③労働時間!$J$5:$J$353))</f>
        <v>0</v>
      </c>
      <c r="AC16" s="382">
        <f>SUMPRODUCT((③労働時間!$A$5:$A$353=作業体系表!$B16)*(③労働時間!$B$5:$B$353="9月中旬")*(③労働時間!$J$5:$J$353))</f>
        <v>0</v>
      </c>
      <c r="AD16" s="382">
        <f>SUMPRODUCT((③労働時間!$A$5:$A$353=作業体系表!$B16)*(③労働時間!$B$5:$B$353="9月下旬")*(③労働時間!$J$5:$J$353))</f>
        <v>0</v>
      </c>
      <c r="AE16" s="382">
        <f>SUMPRODUCT((③労働時間!$A$5:$A$353=作業体系表!$B16)*(③労働時間!$B$5:$B$353="10月上旬")*(③労働時間!$J$5:$J$353))</f>
        <v>0</v>
      </c>
      <c r="AF16" s="382">
        <f>SUMPRODUCT((③労働時間!$A$5:$A$353=作業体系表!$B16)*(③労働時間!$B$5:$B$353="10月中旬")*(③労働時間!$J$5:$J$353))</f>
        <v>0</v>
      </c>
      <c r="AG16" s="382">
        <f>SUMPRODUCT((③労働時間!$A$5:$A$353=作業体系表!$B16)*(③労働時間!$B$5:$B$353="10月下旬")*(③労働時間!$J$5:$J$353))</f>
        <v>0</v>
      </c>
      <c r="AH16" s="382">
        <f>SUMPRODUCT((③労働時間!$A$5:$A$353=作業体系表!$B16)*(③労働時間!$B$5:$B$353="11月上旬")*(③労働時間!$J$5:$J$353))</f>
        <v>0</v>
      </c>
      <c r="AI16" s="382">
        <f>SUMPRODUCT((③労働時間!$A$5:$A$353=作業体系表!$B16)*(③労働時間!$B$5:$B$353="11月中旬")*(③労働時間!$J$5:$J$353))</f>
        <v>0</v>
      </c>
      <c r="AJ16" s="382">
        <f>SUMPRODUCT((③労働時間!$A$5:$A$353=作業体系表!$B16)*(③労働時間!$B$5:$B$353="11月下旬")*(③労働時間!$J$5:$J$353))</f>
        <v>0</v>
      </c>
      <c r="AK16" s="382">
        <f>SUMPRODUCT((③労働時間!$A$5:$A$353=作業体系表!$B16)*(③労働時間!$B$5:$B$353="12月上旬")*(③労働時間!$J$5:$J$353))</f>
        <v>0</v>
      </c>
      <c r="AL16" s="382">
        <f>SUMPRODUCT((③労働時間!$A$5:$A$353=作業体系表!$B16)*(③労働時間!$B$5:$B$353="12月中旬")*(③労働時間!$J$5:$J$353))</f>
        <v>0</v>
      </c>
      <c r="AM16" s="384">
        <f>SUMPRODUCT((③労働時間!$A$5:$A$353=作業体系表!$B16)*(③労働時間!$B$5:$B$353="12月下旬")*(③労働時間!$J$5:$J$353))</f>
        <v>0</v>
      </c>
      <c r="AN16" s="385">
        <f t="shared" si="0"/>
        <v>0.87575259989053111</v>
      </c>
    </row>
    <row r="17" spans="2:40" ht="15" customHeight="1">
      <c r="B17" s="708" t="str">
        <f>①技術体系!A14</f>
        <v>施肥</v>
      </c>
      <c r="C17" s="709"/>
      <c r="D17" s="382">
        <f>SUMPRODUCT((③労働時間!$A$5:$A$353=作業体系表!$B17)*(③労働時間!$B$5:$B$353="1月上旬")*(③労働時間!$J$5:$J$353))</f>
        <v>0</v>
      </c>
      <c r="E17" s="382">
        <f>SUMPRODUCT((③労働時間!$A$5:$A$353=作業体系表!$B17)*(③労働時間!$B$5:$B$353="1月中旬")*(③労働時間!$J$5:$J$353))</f>
        <v>0</v>
      </c>
      <c r="F17" s="382">
        <f>SUMPRODUCT((③労働時間!$A$5:$A$353=作業体系表!$B17)*(③労働時間!$B$5:$B$353="1月下旬")*(③労働時間!$J$5:$J$353))</f>
        <v>0.43787629994526556</v>
      </c>
      <c r="G17" s="382">
        <f>SUMPRODUCT((③労働時間!$A$5:$A$353=作業体系表!$B17)*(③労働時間!$B$5:$B$353="2月上旬")*(③労働時間!$J$5:$J$353))</f>
        <v>0</v>
      </c>
      <c r="H17" s="382">
        <f>SUMPRODUCT((③労働時間!$A$5:$A$353=作業体系表!$B17)*(③労働時間!$B$5:$B$353="2月中旬")*(③労働時間!$J$5:$J$353))</f>
        <v>0</v>
      </c>
      <c r="I17" s="382">
        <f>SUMPRODUCT((③労働時間!$A$5:$A$353=作業体系表!$B17)*(③労働時間!$B$5:$B$353="2月下旬")*(③労働時間!$J$5:$J$353))</f>
        <v>0</v>
      </c>
      <c r="J17" s="382">
        <f>SUMPRODUCT((③労働時間!$A$5:$A$353=作業体系表!$B17)*(③労働時間!$B$5:$B$353="3月上旬")*(③労働時間!$J$5:$J$353))</f>
        <v>0.43787629994526556</v>
      </c>
      <c r="K17" s="382">
        <f>SUMPRODUCT((③労働時間!$A$5:$A$353=作業体系表!$B17)*(③労働時間!$B$5:$B$353="3月中旬")*(③労働時間!$J$5:$J$353))</f>
        <v>0</v>
      </c>
      <c r="L17" s="382">
        <f>SUMPRODUCT((③労働時間!$A$5:$A$353=作業体系表!$B17)*(③労働時間!$B$5:$B$353="3月下旬")*(③労働時間!$J$5:$J$353))</f>
        <v>0</v>
      </c>
      <c r="M17" s="382">
        <f>SUMPRODUCT((③労働時間!$A$5:$A$353=作業体系表!$B17)*(③労働時間!$B$5:$B$353="4月上旬")*(③労働時間!$J$5:$J$353))</f>
        <v>0</v>
      </c>
      <c r="N17" s="382">
        <f>SUMPRODUCT((③労働時間!$A$5:$A$353=作業体系表!$B17)*(③労働時間!$B$5:$B$353="4月中旬")*(③労働時間!$J$5:$J$353))</f>
        <v>0</v>
      </c>
      <c r="O17" s="382">
        <f>SUMPRODUCT((③労働時間!$A$5:$A$353=作業体系表!$B17)*(③労働時間!$B$5:$B$353="4月下旬")*(③労働時間!$J$5:$J$353))</f>
        <v>0</v>
      </c>
      <c r="P17" s="383">
        <f>SUMPRODUCT((③労働時間!$A$5:$A$353=作業体系表!$B17)*(③労働時間!$B$5:$B$353="5月上旬")*(③労働時間!$J$5:$J$353))</f>
        <v>0</v>
      </c>
      <c r="Q17" s="382">
        <f>SUMPRODUCT((③労働時間!$A$5:$A$353=作業体系表!$B17)*(③労働時間!$B$5:$B$353="5月中旬")*(③労働時間!$J$5:$J$353))</f>
        <v>0</v>
      </c>
      <c r="R17" s="382">
        <f>SUMPRODUCT((③労働時間!$A$5:$A$353=作業体系表!$B17)*(③労働時間!$B$5:$B$353="5月下旬")*(③労働時間!$J$5:$J$353))</f>
        <v>0</v>
      </c>
      <c r="S17" s="382">
        <f>SUMPRODUCT((③労働時間!$A$5:$A$353=作業体系表!$B17)*(③労働時間!$B$5:$B$353="6月上旬")*(③労働時間!$J$5:$J$353))</f>
        <v>0</v>
      </c>
      <c r="T17" s="382">
        <f>SUMPRODUCT((③労働時間!$A$5:$A$353=作業体系表!$B17)*(③労働時間!$B$5:$B$353="6月中旬")*(③労働時間!$J$5:$J$353))</f>
        <v>0</v>
      </c>
      <c r="U17" s="382">
        <f>SUMPRODUCT((③労働時間!$A$5:$A$353=作業体系表!$B17)*(③労働時間!$B$5:$B$353="6月下旬")*(③労働時間!$J$5:$J$353))</f>
        <v>0</v>
      </c>
      <c r="V17" s="382">
        <f>SUMPRODUCT((③労働時間!$A$5:$A$353=作業体系表!$B17)*(③労働時間!$B$5:$B$353="7月上旬")*(③労働時間!$J$5:$J$353))</f>
        <v>0</v>
      </c>
      <c r="W17" s="382">
        <f>SUMPRODUCT((③労働時間!$A$5:$A$353=作業体系表!$B17)*(③労働時間!$B$5:$B$353="7月中旬")*(③労働時間!$J$5:$J$353))</f>
        <v>0</v>
      </c>
      <c r="X17" s="382">
        <f>SUMPRODUCT((③労働時間!$A$5:$A$353=作業体系表!$B17)*(③労働時間!$B$5:$B$353="7月下旬")*(③労働時間!$J$5:$J$353))</f>
        <v>0</v>
      </c>
      <c r="Y17" s="382">
        <f>SUMPRODUCT((③労働時間!$A$5:$A$353=作業体系表!$B17)*(③労働時間!$B$5:$B$353="8月上旬")*(③労働時間!$J$5:$J$353))</f>
        <v>0</v>
      </c>
      <c r="Z17" s="382">
        <f>SUMPRODUCT((③労働時間!$A$5:$A$353=作業体系表!$B17)*(③労働時間!$B$5:$B$353="8月中旬")*(③労働時間!$J$5:$J$353))</f>
        <v>0</v>
      </c>
      <c r="AA17" s="382">
        <f>SUMPRODUCT((③労働時間!$A$5:$A$353=作業体系表!$B17)*(③労働時間!$B$5:$B$353="8月下旬")*(③労働時間!$J$5:$J$353))</f>
        <v>0</v>
      </c>
      <c r="AB17" s="383">
        <f>SUMPRODUCT((③労働時間!$A$5:$A$353=作業体系表!$B17)*(③労働時間!$B$5:$B$353="9月上旬")*(③労働時間!$J$5:$J$353))</f>
        <v>0</v>
      </c>
      <c r="AC17" s="382">
        <f>SUMPRODUCT((③労働時間!$A$5:$A$353=作業体系表!$B17)*(③労働時間!$B$5:$B$353="9月中旬")*(③労働時間!$J$5:$J$353))</f>
        <v>0</v>
      </c>
      <c r="AD17" s="382">
        <f>SUMPRODUCT((③労働時間!$A$5:$A$353=作業体系表!$B17)*(③労働時間!$B$5:$B$353="9月下旬")*(③労働時間!$J$5:$J$353))</f>
        <v>0</v>
      </c>
      <c r="AE17" s="382">
        <f>SUMPRODUCT((③労働時間!$A$5:$A$353=作業体系表!$B17)*(③労働時間!$B$5:$B$353="10月上旬")*(③労働時間!$J$5:$J$353))</f>
        <v>0</v>
      </c>
      <c r="AF17" s="382">
        <f>SUMPRODUCT((③労働時間!$A$5:$A$353=作業体系表!$B17)*(③労働時間!$B$5:$B$353="10月中旬")*(③労働時間!$J$5:$J$353))</f>
        <v>0</v>
      </c>
      <c r="AG17" s="382">
        <f>SUMPRODUCT((③労働時間!$A$5:$A$353=作業体系表!$B17)*(③労働時間!$B$5:$B$353="10月下旬")*(③労働時間!$J$5:$J$353))</f>
        <v>0</v>
      </c>
      <c r="AH17" s="382">
        <f>SUMPRODUCT((③労働時間!$A$5:$A$353=作業体系表!$B17)*(③労働時間!$B$5:$B$353="11月上旬")*(③労働時間!$J$5:$J$353))</f>
        <v>0</v>
      </c>
      <c r="AI17" s="382">
        <f>SUMPRODUCT((③労働時間!$A$5:$A$353=作業体系表!$B17)*(③労働時間!$B$5:$B$353="11月中旬")*(③労働時間!$J$5:$J$353))</f>
        <v>0</v>
      </c>
      <c r="AJ17" s="382">
        <f>SUMPRODUCT((③労働時間!$A$5:$A$353=作業体系表!$B17)*(③労働時間!$B$5:$B$353="11月下旬")*(③労働時間!$J$5:$J$353))</f>
        <v>0</v>
      </c>
      <c r="AK17" s="382">
        <f>SUMPRODUCT((③労働時間!$A$5:$A$353=作業体系表!$B17)*(③労働時間!$B$5:$B$353="12月上旬")*(③労働時間!$J$5:$J$353))</f>
        <v>0</v>
      </c>
      <c r="AL17" s="382">
        <f>SUMPRODUCT((③労働時間!$A$5:$A$353=作業体系表!$B17)*(③労働時間!$B$5:$B$353="12月中旬")*(③労働時間!$J$5:$J$353))</f>
        <v>0</v>
      </c>
      <c r="AM17" s="384">
        <f>SUMPRODUCT((③労働時間!$A$5:$A$353=作業体系表!$B17)*(③労働時間!$B$5:$B$353="12月下旬")*(③労働時間!$J$5:$J$353))</f>
        <v>0</v>
      </c>
      <c r="AN17" s="385">
        <f t="shared" si="0"/>
        <v>0.87575259989053111</v>
      </c>
    </row>
    <row r="18" spans="2:40" ht="15" customHeight="1">
      <c r="B18" s="708" t="str">
        <f>①技術体系!A15</f>
        <v>収穫</v>
      </c>
      <c r="C18" s="709"/>
      <c r="D18" s="382">
        <f>SUMPRODUCT((③労働時間!$A$5:$A$353=作業体系表!$B18)*(③労働時間!$B$5:$B$353="1月上旬")*(③労働時間!$J$5:$J$353))</f>
        <v>0</v>
      </c>
      <c r="E18" s="382">
        <f>SUMPRODUCT((③労働時間!$A$5:$A$353=作業体系表!$B18)*(③労働時間!$B$5:$B$353="1月中旬")*(③労働時間!$J$5:$J$353))</f>
        <v>0</v>
      </c>
      <c r="F18" s="382">
        <f>SUMPRODUCT((③労働時間!$A$5:$A$353=作業体系表!$B18)*(③労働時間!$B$5:$B$353="1月下旬")*(③労働時間!$J$5:$J$353))</f>
        <v>0</v>
      </c>
      <c r="G18" s="382">
        <f>SUMPRODUCT((③労働時間!$A$5:$A$353=作業体系表!$B18)*(③労働時間!$B$5:$B$353="2月上旬")*(③労働時間!$J$5:$J$353))</f>
        <v>0</v>
      </c>
      <c r="H18" s="382">
        <f>SUMPRODUCT((③労働時間!$A$5:$A$353=作業体系表!$B18)*(③労働時間!$B$5:$B$353="2月中旬")*(③労働時間!$J$5:$J$353))</f>
        <v>0</v>
      </c>
      <c r="I18" s="382">
        <f>SUMPRODUCT((③労働時間!$A$5:$A$353=作業体系表!$B18)*(③労働時間!$B$5:$B$353="2月下旬")*(③労働時間!$J$5:$J$353))</f>
        <v>0</v>
      </c>
      <c r="J18" s="382">
        <f>SUMPRODUCT((③労働時間!$A$5:$A$353=作業体系表!$B18)*(③労働時間!$B$5:$B$353="3月上旬")*(③労働時間!$J$5:$J$353))</f>
        <v>0</v>
      </c>
      <c r="K18" s="382">
        <f>SUMPRODUCT((③労働時間!$A$5:$A$353=作業体系表!$B18)*(③労働時間!$B$5:$B$353="3月中旬")*(③労働時間!$J$5:$J$353))</f>
        <v>0</v>
      </c>
      <c r="L18" s="382">
        <f>SUMPRODUCT((③労働時間!$A$5:$A$353=作業体系表!$B18)*(③労働時間!$B$5:$B$353="3月下旬")*(③労働時間!$J$5:$J$353))</f>
        <v>0</v>
      </c>
      <c r="M18" s="382">
        <f>SUMPRODUCT((③労働時間!$A$5:$A$353=作業体系表!$B18)*(③労働時間!$B$5:$B$353="4月上旬")*(③労働時間!$J$5:$J$353))</f>
        <v>0</v>
      </c>
      <c r="N18" s="382">
        <f>SUMPRODUCT((③労働時間!$A$5:$A$353=作業体系表!$B18)*(③労働時間!$B$5:$B$353="4月中旬")*(③労働時間!$J$5:$J$353))</f>
        <v>0</v>
      </c>
      <c r="O18" s="382">
        <f>SUMPRODUCT((③労働時間!$A$5:$A$353=作業体系表!$B18)*(③労働時間!$B$5:$B$353="4月下旬")*(③労働時間!$J$5:$J$353))</f>
        <v>0</v>
      </c>
      <c r="P18" s="383">
        <f>SUMPRODUCT((③労働時間!$A$5:$A$353=作業体系表!$B18)*(③労働時間!$B$5:$B$353="5月上旬")*(③労働時間!$J$5:$J$353))</f>
        <v>0</v>
      </c>
      <c r="Q18" s="382">
        <f>SUMPRODUCT((③労働時間!$A$5:$A$353=作業体系表!$B18)*(③労働時間!$B$5:$B$353="5月中旬")*(③労働時間!$J$5:$J$353))</f>
        <v>0</v>
      </c>
      <c r="R18" s="382">
        <f>SUMPRODUCT((③労働時間!$A$5:$A$353=作業体系表!$B18)*(③労働時間!$B$5:$B$353="5月下旬")*(③労働時間!$J$5:$J$353))</f>
        <v>0</v>
      </c>
      <c r="S18" s="382">
        <f>SUMPRODUCT((③労働時間!$A$5:$A$353=作業体系表!$B18)*(③労働時間!$B$5:$B$353="6月上旬")*(③労働時間!$J$5:$J$353))</f>
        <v>1.8037518037518039</v>
      </c>
      <c r="T18" s="382">
        <f>SUMPRODUCT((③労働時間!$A$5:$A$353=作業体系表!$B18)*(③労働時間!$B$5:$B$353="6月中旬")*(③労働時間!$J$5:$J$353))</f>
        <v>0</v>
      </c>
      <c r="U18" s="382">
        <f>SUMPRODUCT((③労働時間!$A$5:$A$353=作業体系表!$B18)*(③労働時間!$B$5:$B$353="6月下旬")*(③労働時間!$J$5:$J$353))</f>
        <v>0</v>
      </c>
      <c r="V18" s="382">
        <f>SUMPRODUCT((③労働時間!$A$5:$A$353=作業体系表!$B18)*(③労働時間!$B$5:$B$353="7月上旬")*(③労働時間!$J$5:$J$353))</f>
        <v>0</v>
      </c>
      <c r="W18" s="382">
        <f>SUMPRODUCT((③労働時間!$A$5:$A$353=作業体系表!$B18)*(③労働時間!$B$5:$B$353="7月中旬")*(③労働時間!$J$5:$J$353))</f>
        <v>0</v>
      </c>
      <c r="X18" s="382">
        <f>SUMPRODUCT((③労働時間!$A$5:$A$353=作業体系表!$B18)*(③労働時間!$B$5:$B$353="7月下旬")*(③労働時間!$J$5:$J$353))</f>
        <v>0</v>
      </c>
      <c r="Y18" s="382">
        <f>SUMPRODUCT((③労働時間!$A$5:$A$353=作業体系表!$B18)*(③労働時間!$B$5:$B$353="8月上旬")*(③労働時間!$J$5:$J$353))</f>
        <v>0</v>
      </c>
      <c r="Z18" s="382">
        <f>SUMPRODUCT((③労働時間!$A$5:$A$353=作業体系表!$B18)*(③労働時間!$B$5:$B$353="8月中旬")*(③労働時間!$J$5:$J$353))</f>
        <v>0</v>
      </c>
      <c r="AA18" s="382">
        <f>SUMPRODUCT((③労働時間!$A$5:$A$353=作業体系表!$B18)*(③労働時間!$B$5:$B$353="8月下旬")*(③労働時間!$J$5:$J$353))</f>
        <v>0</v>
      </c>
      <c r="AB18" s="383">
        <f>SUMPRODUCT((③労働時間!$A$5:$A$353=作業体系表!$B18)*(③労働時間!$B$5:$B$353="9月上旬")*(③労働時間!$J$5:$J$353))</f>
        <v>0</v>
      </c>
      <c r="AC18" s="382">
        <f>SUMPRODUCT((③労働時間!$A$5:$A$353=作業体系表!$B18)*(③労働時間!$B$5:$B$353="9月中旬")*(③労働時間!$J$5:$J$353))</f>
        <v>0</v>
      </c>
      <c r="AD18" s="382">
        <f>SUMPRODUCT((③労働時間!$A$5:$A$353=作業体系表!$B18)*(③労働時間!$B$5:$B$353="9月下旬")*(③労働時間!$J$5:$J$353))</f>
        <v>0</v>
      </c>
      <c r="AE18" s="382">
        <f>SUMPRODUCT((③労働時間!$A$5:$A$353=作業体系表!$B18)*(③労働時間!$B$5:$B$353="10月上旬")*(③労働時間!$J$5:$J$353))</f>
        <v>0</v>
      </c>
      <c r="AF18" s="382">
        <f>SUMPRODUCT((③労働時間!$A$5:$A$353=作業体系表!$B18)*(③労働時間!$B$5:$B$353="10月中旬")*(③労働時間!$J$5:$J$353))</f>
        <v>0</v>
      </c>
      <c r="AG18" s="382">
        <f>SUMPRODUCT((③労働時間!$A$5:$A$353=作業体系表!$B18)*(③労働時間!$B$5:$B$353="10月下旬")*(③労働時間!$J$5:$J$353))</f>
        <v>0</v>
      </c>
      <c r="AH18" s="382">
        <f>SUMPRODUCT((③労働時間!$A$5:$A$353=作業体系表!$B18)*(③労働時間!$B$5:$B$353="11月上旬")*(③労働時間!$J$5:$J$353))</f>
        <v>0</v>
      </c>
      <c r="AI18" s="382">
        <f>SUMPRODUCT((③労働時間!$A$5:$A$353=作業体系表!$B18)*(③労働時間!$B$5:$B$353="11月中旬")*(③労働時間!$J$5:$J$353))</f>
        <v>0</v>
      </c>
      <c r="AJ18" s="382">
        <f>SUMPRODUCT((③労働時間!$A$5:$A$353=作業体系表!$B18)*(③労働時間!$B$5:$B$353="11月下旬")*(③労働時間!$J$5:$J$353))</f>
        <v>0</v>
      </c>
      <c r="AK18" s="382">
        <f>SUMPRODUCT((③労働時間!$A$5:$A$353=作業体系表!$B18)*(③労働時間!$B$5:$B$353="12月上旬")*(③労働時間!$J$5:$J$353))</f>
        <v>0</v>
      </c>
      <c r="AL18" s="382">
        <f>SUMPRODUCT((③労働時間!$A$5:$A$353=作業体系表!$B18)*(③労働時間!$B$5:$B$353="12月中旬")*(③労働時間!$J$5:$J$353))</f>
        <v>0</v>
      </c>
      <c r="AM18" s="384">
        <f>SUMPRODUCT((③労働時間!$A$5:$A$353=作業体系表!$B18)*(③労働時間!$B$5:$B$353="12月下旬")*(③労働時間!$J$5:$J$353))</f>
        <v>0</v>
      </c>
      <c r="AN18" s="385">
        <f t="shared" si="0"/>
        <v>1.8037518037518039</v>
      </c>
    </row>
    <row r="19" spans="2:40" ht="15" customHeight="1">
      <c r="B19" s="708" t="str">
        <f>①技術体系!A16</f>
        <v>出荷</v>
      </c>
      <c r="C19" s="709"/>
      <c r="D19" s="382">
        <f>SUMPRODUCT((③労働時間!$A$5:$A$353=作業体系表!$B19)*(③労働時間!$B$5:$B$353="1月上旬")*(③労働時間!$J$5:$J$353))</f>
        <v>0</v>
      </c>
      <c r="E19" s="382">
        <f>SUMPRODUCT((③労働時間!$A$5:$A$353=作業体系表!$B19)*(③労働時間!$B$5:$B$353="1月中旬")*(③労働時間!$J$5:$J$353))</f>
        <v>0</v>
      </c>
      <c r="F19" s="382">
        <f>SUMPRODUCT((③労働時間!$A$5:$A$353=作業体系表!$B19)*(③労働時間!$B$5:$B$353="1月下旬")*(③労働時間!$J$5:$J$353))</f>
        <v>0</v>
      </c>
      <c r="G19" s="382">
        <f>SUMPRODUCT((③労働時間!$A$5:$A$353=作業体系表!$B19)*(③労働時間!$B$5:$B$353="2月上旬")*(③労働時間!$J$5:$J$353))</f>
        <v>0</v>
      </c>
      <c r="H19" s="382">
        <f>SUMPRODUCT((③労働時間!$A$5:$A$353=作業体系表!$B19)*(③労働時間!$B$5:$B$353="2月中旬")*(③労働時間!$J$5:$J$353))</f>
        <v>0</v>
      </c>
      <c r="I19" s="382">
        <f>SUMPRODUCT((③労働時間!$A$5:$A$353=作業体系表!$B19)*(③労働時間!$B$5:$B$353="2月下旬")*(③労働時間!$J$5:$J$353))</f>
        <v>0</v>
      </c>
      <c r="J19" s="382">
        <f>SUMPRODUCT((③労働時間!$A$5:$A$353=作業体系表!$B19)*(③労働時間!$B$5:$B$353="3月上旬")*(③労働時間!$J$5:$J$353))</f>
        <v>0</v>
      </c>
      <c r="K19" s="382">
        <f>SUMPRODUCT((③労働時間!$A$5:$A$353=作業体系表!$B19)*(③労働時間!$B$5:$B$353="3月中旬")*(③労働時間!$J$5:$J$353))</f>
        <v>0</v>
      </c>
      <c r="L19" s="382">
        <f>SUMPRODUCT((③労働時間!$A$5:$A$353=作業体系表!$B19)*(③労働時間!$B$5:$B$353="3月下旬")*(③労働時間!$J$5:$J$353))</f>
        <v>0</v>
      </c>
      <c r="M19" s="382">
        <f>SUMPRODUCT((③労働時間!$A$5:$A$353=作業体系表!$B19)*(③労働時間!$B$5:$B$353="4月上旬")*(③労働時間!$J$5:$J$353))</f>
        <v>0</v>
      </c>
      <c r="N19" s="382">
        <f>SUMPRODUCT((③労働時間!$A$5:$A$353=作業体系表!$B19)*(③労働時間!$B$5:$B$353="4月中旬")*(③労働時間!$J$5:$J$353))</f>
        <v>0</v>
      </c>
      <c r="O19" s="382">
        <f>SUMPRODUCT((③労働時間!$A$5:$A$353=作業体系表!$B19)*(③労働時間!$B$5:$B$353="4月下旬")*(③労働時間!$J$5:$J$353))</f>
        <v>0</v>
      </c>
      <c r="P19" s="383">
        <f>SUMPRODUCT((③労働時間!$A$5:$A$353=作業体系表!$B19)*(③労働時間!$B$5:$B$353="5月上旬")*(③労働時間!$J$5:$J$353))</f>
        <v>0</v>
      </c>
      <c r="Q19" s="382">
        <f>SUMPRODUCT((③労働時間!$A$5:$A$353=作業体系表!$B19)*(③労働時間!$B$5:$B$353="5月中旬")*(③労働時間!$J$5:$J$353))</f>
        <v>0</v>
      </c>
      <c r="R19" s="382">
        <f>SUMPRODUCT((③労働時間!$A$5:$A$353=作業体系表!$B19)*(③労働時間!$B$5:$B$353="5月下旬")*(③労働時間!$J$5:$J$353))</f>
        <v>0</v>
      </c>
      <c r="S19" s="382">
        <f>SUMPRODUCT((③労働時間!$A$5:$A$353=作業体系表!$B19)*(③労働時間!$B$5:$B$353="6月上旬")*(③労働時間!$J$5:$J$353))</f>
        <v>0.4</v>
      </c>
      <c r="T19" s="382">
        <f>SUMPRODUCT((③労働時間!$A$5:$A$353=作業体系表!$B19)*(③労働時間!$B$5:$B$353="6月中旬")*(③労働時間!$J$5:$J$353))</f>
        <v>0</v>
      </c>
      <c r="U19" s="382">
        <f>SUMPRODUCT((③労働時間!$A$5:$A$353=作業体系表!$B19)*(③労働時間!$B$5:$B$353="6月下旬")*(③労働時間!$J$5:$J$353))</f>
        <v>0</v>
      </c>
      <c r="V19" s="382">
        <f>SUMPRODUCT((③労働時間!$A$5:$A$353=作業体系表!$B19)*(③労働時間!$B$5:$B$353="7月上旬")*(③労働時間!$J$5:$J$353))</f>
        <v>0</v>
      </c>
      <c r="W19" s="382">
        <f>SUMPRODUCT((③労働時間!$A$5:$A$353=作業体系表!$B19)*(③労働時間!$B$5:$B$353="7月中旬")*(③労働時間!$J$5:$J$353))</f>
        <v>0</v>
      </c>
      <c r="X19" s="382">
        <f>SUMPRODUCT((③労働時間!$A$5:$A$353=作業体系表!$B19)*(③労働時間!$B$5:$B$353="7月下旬")*(③労働時間!$J$5:$J$353))</f>
        <v>0</v>
      </c>
      <c r="Y19" s="382">
        <f>SUMPRODUCT((③労働時間!$A$5:$A$353=作業体系表!$B19)*(③労働時間!$B$5:$B$353="8月上旬")*(③労働時間!$J$5:$J$353))</f>
        <v>0</v>
      </c>
      <c r="Z19" s="382">
        <f>SUMPRODUCT((③労働時間!$A$5:$A$353=作業体系表!$B19)*(③労働時間!$B$5:$B$353="8月中旬")*(③労働時間!$J$5:$J$353))</f>
        <v>0</v>
      </c>
      <c r="AA19" s="382">
        <f>SUMPRODUCT((③労働時間!$A$5:$A$353=作業体系表!$B19)*(③労働時間!$B$5:$B$353="8月下旬")*(③労働時間!$J$5:$J$353))</f>
        <v>0</v>
      </c>
      <c r="AB19" s="383">
        <f>SUMPRODUCT((③労働時間!$A$5:$A$353=作業体系表!$B19)*(③労働時間!$B$5:$B$353="9月上旬")*(③労働時間!$J$5:$J$353))</f>
        <v>0</v>
      </c>
      <c r="AC19" s="382">
        <f>SUMPRODUCT((③労働時間!$A$5:$A$353=作業体系表!$B19)*(③労働時間!$B$5:$B$353="9月中旬")*(③労働時間!$J$5:$J$353))</f>
        <v>0</v>
      </c>
      <c r="AD19" s="382">
        <f>SUMPRODUCT((③労働時間!$A$5:$A$353=作業体系表!$B19)*(③労働時間!$B$5:$B$353="9月下旬")*(③労働時間!$J$5:$J$353))</f>
        <v>0</v>
      </c>
      <c r="AE19" s="382">
        <f>SUMPRODUCT((③労働時間!$A$5:$A$353=作業体系表!$B19)*(③労働時間!$B$5:$B$353="10月上旬")*(③労働時間!$J$5:$J$353))</f>
        <v>0</v>
      </c>
      <c r="AF19" s="382">
        <f>SUMPRODUCT((③労働時間!$A$5:$A$353=作業体系表!$B19)*(③労働時間!$B$5:$B$353="10月中旬")*(③労働時間!$J$5:$J$353))</f>
        <v>0</v>
      </c>
      <c r="AG19" s="382">
        <f>SUMPRODUCT((③労働時間!$A$5:$A$353=作業体系表!$B19)*(③労働時間!$B$5:$B$353="10月下旬")*(③労働時間!$J$5:$J$353))</f>
        <v>0</v>
      </c>
      <c r="AH19" s="382">
        <f>SUMPRODUCT((③労働時間!$A$5:$A$353=作業体系表!$B19)*(③労働時間!$B$5:$B$353="11月上旬")*(③労働時間!$J$5:$J$353))</f>
        <v>0</v>
      </c>
      <c r="AI19" s="382">
        <f>SUMPRODUCT((③労働時間!$A$5:$A$353=作業体系表!$B19)*(③労働時間!$B$5:$B$353="11月中旬")*(③労働時間!$J$5:$J$353))</f>
        <v>0</v>
      </c>
      <c r="AJ19" s="382">
        <f>SUMPRODUCT((③労働時間!$A$5:$A$353=作業体系表!$B19)*(③労働時間!$B$5:$B$353="11月下旬")*(③労働時間!$J$5:$J$353))</f>
        <v>0</v>
      </c>
      <c r="AK19" s="382">
        <f>SUMPRODUCT((③労働時間!$A$5:$A$353=作業体系表!$B19)*(③労働時間!$B$5:$B$353="12月上旬")*(③労働時間!$J$5:$J$353))</f>
        <v>0</v>
      </c>
      <c r="AL19" s="382">
        <f>SUMPRODUCT((③労働時間!$A$5:$A$353=作業体系表!$B19)*(③労働時間!$B$5:$B$353="12月中旬")*(③労働時間!$J$5:$J$353))</f>
        <v>0</v>
      </c>
      <c r="AM19" s="384">
        <f>SUMPRODUCT((③労働時間!$A$5:$A$353=作業体系表!$B19)*(③労働時間!$B$5:$B$353="12月下旬")*(③労働時間!$J$5:$J$353))</f>
        <v>0</v>
      </c>
      <c r="AN19" s="385">
        <f t="shared" si="0"/>
        <v>0.4</v>
      </c>
    </row>
    <row r="20" spans="2:40" ht="15" customHeight="1">
      <c r="B20" s="708" t="str">
        <f>①技術体系!A17</f>
        <v>排水対策</v>
      </c>
      <c r="C20" s="709"/>
      <c r="D20" s="382">
        <f>SUMPRODUCT((③労働時間!$A$5:$A$353=作業体系表!$B20)*(③労働時間!$B$5:$B$353="1月上旬")*(③労働時間!$J$5:$J$353))</f>
        <v>0</v>
      </c>
      <c r="E20" s="382">
        <f>SUMPRODUCT((③労働時間!$A$5:$A$353=作業体系表!$B20)*(③労働時間!$B$5:$B$353="1月中旬")*(③労働時間!$J$5:$J$353))</f>
        <v>0</v>
      </c>
      <c r="F20" s="382">
        <f>SUMPRODUCT((③労働時間!$A$5:$A$353=作業体系表!$B20)*(③労働時間!$B$5:$B$353="1月下旬")*(③労働時間!$J$5:$J$353))</f>
        <v>0</v>
      </c>
      <c r="G20" s="382">
        <f>SUMPRODUCT((③労働時間!$A$5:$A$353=作業体系表!$B20)*(③労働時間!$B$5:$B$353="2月上旬")*(③労働時間!$J$5:$J$353))</f>
        <v>0</v>
      </c>
      <c r="H20" s="382">
        <f>SUMPRODUCT((③労働時間!$A$5:$A$353=作業体系表!$B20)*(③労働時間!$B$5:$B$353="2月中旬")*(③労働時間!$J$5:$J$353))</f>
        <v>0</v>
      </c>
      <c r="I20" s="382">
        <f>SUMPRODUCT((③労働時間!$A$5:$A$353=作業体系表!$B20)*(③労働時間!$B$5:$B$353="2月下旬")*(③労働時間!$J$5:$J$353))</f>
        <v>0</v>
      </c>
      <c r="J20" s="382">
        <f>SUMPRODUCT((③労働時間!$A$5:$A$353=作業体系表!$B20)*(③労働時間!$B$5:$B$353="3月上旬")*(③労働時間!$J$5:$J$353))</f>
        <v>0</v>
      </c>
      <c r="K20" s="382">
        <f>SUMPRODUCT((③労働時間!$A$5:$A$353=作業体系表!$B20)*(③労働時間!$B$5:$B$353="3月中旬")*(③労働時間!$J$5:$J$353))</f>
        <v>0</v>
      </c>
      <c r="L20" s="382">
        <f>SUMPRODUCT((③労働時間!$A$5:$A$353=作業体系表!$B20)*(③労働時間!$B$5:$B$353="3月下旬")*(③労働時間!$J$5:$J$353))</f>
        <v>0</v>
      </c>
      <c r="M20" s="382">
        <f>SUMPRODUCT((③労働時間!$A$5:$A$353=作業体系表!$B20)*(③労働時間!$B$5:$B$353="4月上旬")*(③労働時間!$J$5:$J$353))</f>
        <v>0</v>
      </c>
      <c r="N20" s="382">
        <f>SUMPRODUCT((③労働時間!$A$5:$A$353=作業体系表!$B20)*(③労働時間!$B$5:$B$353="4月中旬")*(③労働時間!$J$5:$J$353))</f>
        <v>0</v>
      </c>
      <c r="O20" s="382">
        <f>SUMPRODUCT((③労働時間!$A$5:$A$353=作業体系表!$B20)*(③労働時間!$B$5:$B$353="4月下旬")*(③労働時間!$J$5:$J$353))</f>
        <v>0</v>
      </c>
      <c r="P20" s="383">
        <f>SUMPRODUCT((③労働時間!$A$5:$A$353=作業体系表!$B20)*(③労働時間!$B$5:$B$353="5月上旬")*(③労働時間!$J$5:$J$353))</f>
        <v>0</v>
      </c>
      <c r="Q20" s="382">
        <f>SUMPRODUCT((③労働時間!$A$5:$A$353=作業体系表!$B20)*(③労働時間!$B$5:$B$353="5月中旬")*(③労働時間!$J$5:$J$353))</f>
        <v>0</v>
      </c>
      <c r="R20" s="382">
        <f>SUMPRODUCT((③労働時間!$A$5:$A$353=作業体系表!$B20)*(③労働時間!$B$5:$B$353="5月下旬")*(③労働時間!$J$5:$J$353))</f>
        <v>0</v>
      </c>
      <c r="S20" s="382">
        <f>SUMPRODUCT((③労働時間!$A$5:$A$353=作業体系表!$B20)*(③労働時間!$B$5:$B$353="6月上旬")*(③労働時間!$J$5:$J$353))</f>
        <v>0</v>
      </c>
      <c r="T20" s="382">
        <f>SUMPRODUCT((③労働時間!$A$5:$A$353=作業体系表!$B20)*(③労働時間!$B$5:$B$353="6月中旬")*(③労働時間!$J$5:$J$353))</f>
        <v>0</v>
      </c>
      <c r="U20" s="382">
        <f>SUMPRODUCT((③労働時間!$A$5:$A$353=作業体系表!$B20)*(③労働時間!$B$5:$B$353="6月下旬")*(③労働時間!$J$5:$J$353))</f>
        <v>0</v>
      </c>
      <c r="V20" s="382">
        <f>SUMPRODUCT((③労働時間!$A$5:$A$353=作業体系表!$B20)*(③労働時間!$B$5:$B$353="7月上旬")*(③労働時間!$J$5:$J$353))</f>
        <v>0</v>
      </c>
      <c r="W20" s="382">
        <f>SUMPRODUCT((③労働時間!$A$5:$A$353=作業体系表!$B20)*(③労働時間!$B$5:$B$353="7月中旬")*(③労働時間!$J$5:$J$353))</f>
        <v>0</v>
      </c>
      <c r="X20" s="382">
        <f>SUMPRODUCT((③労働時間!$A$5:$A$353=作業体系表!$B20)*(③労働時間!$B$5:$B$353="7月下旬")*(③労働時間!$J$5:$J$353))</f>
        <v>0</v>
      </c>
      <c r="Y20" s="382">
        <f>SUMPRODUCT((③労働時間!$A$5:$A$353=作業体系表!$B20)*(③労働時間!$B$5:$B$353="8月上旬")*(③労働時間!$J$5:$J$353))</f>
        <v>0</v>
      </c>
      <c r="Z20" s="382">
        <f>SUMPRODUCT((③労働時間!$A$5:$A$353=作業体系表!$B20)*(③労働時間!$B$5:$B$353="8月中旬")*(③労働時間!$J$5:$J$353))</f>
        <v>0</v>
      </c>
      <c r="AA20" s="382">
        <f>SUMPRODUCT((③労働時間!$A$5:$A$353=作業体系表!$B20)*(③労働時間!$B$5:$B$353="8月下旬")*(③労働時間!$J$5:$J$353))</f>
        <v>0</v>
      </c>
      <c r="AB20" s="383">
        <f>SUMPRODUCT((③労働時間!$A$5:$A$353=作業体系表!$B20)*(③労働時間!$B$5:$B$353="9月上旬")*(③労働時間!$J$5:$J$353))</f>
        <v>0</v>
      </c>
      <c r="AC20" s="382">
        <f>SUMPRODUCT((③労働時間!$A$5:$A$353=作業体系表!$B20)*(③労働時間!$B$5:$B$353="9月中旬")*(③労働時間!$J$5:$J$353))</f>
        <v>0</v>
      </c>
      <c r="AD20" s="382">
        <f>SUMPRODUCT((③労働時間!$A$5:$A$353=作業体系表!$B20)*(③労働時間!$B$5:$B$353="9月下旬")*(③労働時間!$J$5:$J$353))</f>
        <v>0</v>
      </c>
      <c r="AE20" s="382">
        <f>SUMPRODUCT((③労働時間!$A$5:$A$353=作業体系表!$B20)*(③労働時間!$B$5:$B$353="10月上旬")*(③労働時間!$J$5:$J$353))</f>
        <v>0</v>
      </c>
      <c r="AF20" s="382">
        <f>SUMPRODUCT((③労働時間!$A$5:$A$353=作業体系表!$B20)*(③労働時間!$B$5:$B$353="10月中旬")*(③労働時間!$J$5:$J$353))</f>
        <v>0</v>
      </c>
      <c r="AG20" s="382">
        <f>SUMPRODUCT((③労働時間!$A$5:$A$353=作業体系表!$B20)*(③労働時間!$B$5:$B$353="10月下旬")*(③労働時間!$J$5:$J$353))</f>
        <v>0.82379313574003854</v>
      </c>
      <c r="AH20" s="382">
        <f>SUMPRODUCT((③労働時間!$A$5:$A$353=作業体系表!$B20)*(③労働時間!$B$5:$B$353="11月上旬")*(③労働時間!$J$5:$J$353))</f>
        <v>0</v>
      </c>
      <c r="AI20" s="382">
        <f>SUMPRODUCT((③労働時間!$A$5:$A$353=作業体系表!$B20)*(③労働時間!$B$5:$B$353="11月中旬")*(③労働時間!$J$5:$J$353))</f>
        <v>0</v>
      </c>
      <c r="AJ20" s="382">
        <f>SUMPRODUCT((③労働時間!$A$5:$A$353=作業体系表!$B20)*(③労働時間!$B$5:$B$353="11月下旬")*(③労働時間!$J$5:$J$353))</f>
        <v>0</v>
      </c>
      <c r="AK20" s="382">
        <f>SUMPRODUCT((③労働時間!$A$5:$A$353=作業体系表!$B20)*(③労働時間!$B$5:$B$353="12月上旬")*(③労働時間!$J$5:$J$353))</f>
        <v>0</v>
      </c>
      <c r="AL20" s="382">
        <f>SUMPRODUCT((③労働時間!$A$5:$A$353=作業体系表!$B20)*(③労働時間!$B$5:$B$353="12月中旬")*(③労働時間!$J$5:$J$353))</f>
        <v>0</v>
      </c>
      <c r="AM20" s="384">
        <f>SUMPRODUCT((③労働時間!$A$5:$A$353=作業体系表!$B20)*(③労働時間!$B$5:$B$353="12月下旬")*(③労働時間!$J$5:$J$353))</f>
        <v>0</v>
      </c>
      <c r="AN20" s="385">
        <f t="shared" si="0"/>
        <v>0.82379313574003854</v>
      </c>
    </row>
    <row r="21" spans="2:40" ht="15" customHeight="1">
      <c r="B21" s="708">
        <f>①技術体系!A18</f>
        <v>0</v>
      </c>
      <c r="C21" s="709"/>
      <c r="D21" s="382">
        <f>SUMPRODUCT((③労働時間!$A$5:$A$353=作業体系表!$B21)*(③労働時間!$B$5:$B$353="1月上旬")*(③労働時間!$J$5:$J$353))</f>
        <v>0</v>
      </c>
      <c r="E21" s="382">
        <f>SUMPRODUCT((③労働時間!$A$5:$A$353=作業体系表!$B21)*(③労働時間!$B$5:$B$353="1月中旬")*(③労働時間!$J$5:$J$353))</f>
        <v>0</v>
      </c>
      <c r="F21" s="382">
        <f>SUMPRODUCT((③労働時間!$A$5:$A$353=作業体系表!$B21)*(③労働時間!$B$5:$B$353="1月下旬")*(③労働時間!$J$5:$J$353))</f>
        <v>0</v>
      </c>
      <c r="G21" s="382">
        <f>SUMPRODUCT((③労働時間!$A$5:$A$353=作業体系表!$B21)*(③労働時間!$B$5:$B$353="2月上旬")*(③労働時間!$J$5:$J$353))</f>
        <v>0</v>
      </c>
      <c r="H21" s="382">
        <f>SUMPRODUCT((③労働時間!$A$5:$A$353=作業体系表!$B21)*(③労働時間!$B$5:$B$353="2月中旬")*(③労働時間!$J$5:$J$353))</f>
        <v>0</v>
      </c>
      <c r="I21" s="382">
        <f>SUMPRODUCT((③労働時間!$A$5:$A$353=作業体系表!$B21)*(③労働時間!$B$5:$B$353="2月下旬")*(③労働時間!$J$5:$J$353))</f>
        <v>0</v>
      </c>
      <c r="J21" s="382">
        <f>SUMPRODUCT((③労働時間!$A$5:$A$353=作業体系表!$B21)*(③労働時間!$B$5:$B$353="3月上旬")*(③労働時間!$J$5:$J$353))</f>
        <v>0</v>
      </c>
      <c r="K21" s="382">
        <f>SUMPRODUCT((③労働時間!$A$5:$A$353=作業体系表!$B21)*(③労働時間!$B$5:$B$353="3月中旬")*(③労働時間!$J$5:$J$353))</f>
        <v>0</v>
      </c>
      <c r="L21" s="382">
        <f>SUMPRODUCT((③労働時間!$A$5:$A$353=作業体系表!$B21)*(③労働時間!$B$5:$B$353="3月下旬")*(③労働時間!$J$5:$J$353))</f>
        <v>0</v>
      </c>
      <c r="M21" s="382">
        <f>SUMPRODUCT((③労働時間!$A$5:$A$353=作業体系表!$B21)*(③労働時間!$B$5:$B$353="4月上旬")*(③労働時間!$J$5:$J$353))</f>
        <v>0</v>
      </c>
      <c r="N21" s="382">
        <f>SUMPRODUCT((③労働時間!$A$5:$A$353=作業体系表!$B21)*(③労働時間!$B$5:$B$353="4月中旬")*(③労働時間!$J$5:$J$353))</f>
        <v>0</v>
      </c>
      <c r="O21" s="382">
        <f>SUMPRODUCT((③労働時間!$A$5:$A$353=作業体系表!$B21)*(③労働時間!$B$5:$B$353="4月下旬")*(③労働時間!$J$5:$J$353))</f>
        <v>0</v>
      </c>
      <c r="P21" s="383">
        <f>SUMPRODUCT((③労働時間!$A$5:$A$353=作業体系表!$B21)*(③労働時間!$B$5:$B$353="5月上旬")*(③労働時間!$J$5:$J$353))</f>
        <v>0</v>
      </c>
      <c r="Q21" s="382">
        <f>SUMPRODUCT((③労働時間!$A$5:$A$353=作業体系表!$B21)*(③労働時間!$B$5:$B$353="5月中旬")*(③労働時間!$J$5:$J$353))</f>
        <v>0</v>
      </c>
      <c r="R21" s="382">
        <f>SUMPRODUCT((③労働時間!$A$5:$A$353=作業体系表!$B21)*(③労働時間!$B$5:$B$353="5月下旬")*(③労働時間!$J$5:$J$353))</f>
        <v>0</v>
      </c>
      <c r="S21" s="382">
        <f>SUMPRODUCT((③労働時間!$A$5:$A$353=作業体系表!$B21)*(③労働時間!$B$5:$B$353="6月上旬")*(③労働時間!$J$5:$J$353))</f>
        <v>0</v>
      </c>
      <c r="T21" s="382">
        <f>SUMPRODUCT((③労働時間!$A$5:$A$353=作業体系表!$B21)*(③労働時間!$B$5:$B$353="6月中旬")*(③労働時間!$J$5:$J$353))</f>
        <v>0</v>
      </c>
      <c r="U21" s="382">
        <f>SUMPRODUCT((③労働時間!$A$5:$A$353=作業体系表!$B21)*(③労働時間!$B$5:$B$353="6月下旬")*(③労働時間!$J$5:$J$353))</f>
        <v>0</v>
      </c>
      <c r="V21" s="382">
        <f>SUMPRODUCT((③労働時間!$A$5:$A$353=作業体系表!$B21)*(③労働時間!$B$5:$B$353="7月上旬")*(③労働時間!$J$5:$J$353))</f>
        <v>0</v>
      </c>
      <c r="W21" s="382">
        <f>SUMPRODUCT((③労働時間!$A$5:$A$353=作業体系表!$B21)*(③労働時間!$B$5:$B$353="7月中旬")*(③労働時間!$J$5:$J$353))</f>
        <v>0</v>
      </c>
      <c r="X21" s="382">
        <f>SUMPRODUCT((③労働時間!$A$5:$A$353=作業体系表!$B21)*(③労働時間!$B$5:$B$353="7月下旬")*(③労働時間!$J$5:$J$353))</f>
        <v>0</v>
      </c>
      <c r="Y21" s="382">
        <f>SUMPRODUCT((③労働時間!$A$5:$A$353=作業体系表!$B21)*(③労働時間!$B$5:$B$353="8月上旬")*(③労働時間!$J$5:$J$353))</f>
        <v>0</v>
      </c>
      <c r="Z21" s="382">
        <f>SUMPRODUCT((③労働時間!$A$5:$A$353=作業体系表!$B21)*(③労働時間!$B$5:$B$353="8月中旬")*(③労働時間!$J$5:$J$353))</f>
        <v>0</v>
      </c>
      <c r="AA21" s="382">
        <f>SUMPRODUCT((③労働時間!$A$5:$A$353=作業体系表!$B21)*(③労働時間!$B$5:$B$353="8月下旬")*(③労働時間!$J$5:$J$353))</f>
        <v>0</v>
      </c>
      <c r="AB21" s="383">
        <f>SUMPRODUCT((③労働時間!$A$5:$A$353=作業体系表!$B21)*(③労働時間!$B$5:$B$353="9月上旬")*(③労働時間!$J$5:$J$353))</f>
        <v>0</v>
      </c>
      <c r="AC21" s="382">
        <f>SUMPRODUCT((③労働時間!$A$5:$A$353=作業体系表!$B21)*(③労働時間!$B$5:$B$353="9月中旬")*(③労働時間!$J$5:$J$353))</f>
        <v>0</v>
      </c>
      <c r="AD21" s="382">
        <f>SUMPRODUCT((③労働時間!$A$5:$A$353=作業体系表!$B21)*(③労働時間!$B$5:$B$353="9月下旬")*(③労働時間!$J$5:$J$353))</f>
        <v>0</v>
      </c>
      <c r="AE21" s="382">
        <f>SUMPRODUCT((③労働時間!$A$5:$A$353=作業体系表!$B21)*(③労働時間!$B$5:$B$353="10月上旬")*(③労働時間!$J$5:$J$353))</f>
        <v>0</v>
      </c>
      <c r="AF21" s="382">
        <f>SUMPRODUCT((③労働時間!$A$5:$A$353=作業体系表!$B21)*(③労働時間!$B$5:$B$353="10月中旬")*(③労働時間!$J$5:$J$353))</f>
        <v>0</v>
      </c>
      <c r="AG21" s="382">
        <f>SUMPRODUCT((③労働時間!$A$5:$A$353=作業体系表!$B21)*(③労働時間!$B$5:$B$353="10月下旬")*(③労働時間!$J$5:$J$353))</f>
        <v>0</v>
      </c>
      <c r="AH21" s="382">
        <f>SUMPRODUCT((③労働時間!$A$5:$A$353=作業体系表!$B21)*(③労働時間!$B$5:$B$353="11月上旬")*(③労働時間!$J$5:$J$353))</f>
        <v>0</v>
      </c>
      <c r="AI21" s="382">
        <f>SUMPRODUCT((③労働時間!$A$5:$A$353=作業体系表!$B21)*(③労働時間!$B$5:$B$353="11月中旬")*(③労働時間!$J$5:$J$353))</f>
        <v>0</v>
      </c>
      <c r="AJ21" s="382">
        <f>SUMPRODUCT((③労働時間!$A$5:$A$353=作業体系表!$B21)*(③労働時間!$B$5:$B$353="11月下旬")*(③労働時間!$J$5:$J$353))</f>
        <v>0</v>
      </c>
      <c r="AK21" s="382">
        <f>SUMPRODUCT((③労働時間!$A$5:$A$353=作業体系表!$B21)*(③労働時間!$B$5:$B$353="12月上旬")*(③労働時間!$J$5:$J$353))</f>
        <v>0</v>
      </c>
      <c r="AL21" s="382">
        <f>SUMPRODUCT((③労働時間!$A$5:$A$353=作業体系表!$B21)*(③労働時間!$B$5:$B$353="12月中旬")*(③労働時間!$J$5:$J$353))</f>
        <v>0</v>
      </c>
      <c r="AM21" s="384">
        <f>SUMPRODUCT((③労働時間!$A$5:$A$353=作業体系表!$B21)*(③労働時間!$B$5:$B$353="12月下旬")*(③労働時間!$J$5:$J$353))</f>
        <v>0</v>
      </c>
      <c r="AN21" s="385">
        <f t="shared" si="0"/>
        <v>0</v>
      </c>
    </row>
    <row r="22" spans="2:40" ht="15" customHeight="1">
      <c r="B22" s="708">
        <f>①技術体系!A19</f>
        <v>0</v>
      </c>
      <c r="C22" s="709"/>
      <c r="D22" s="382">
        <f>SUMPRODUCT((③労働時間!$A$5:$A$353=作業体系表!$B22)*(③労働時間!$B$5:$B$353="1月上旬")*(③労働時間!$J$5:$J$353))</f>
        <v>0</v>
      </c>
      <c r="E22" s="382">
        <f>SUMPRODUCT((③労働時間!$A$5:$A$353=作業体系表!$B22)*(③労働時間!$B$5:$B$353="1月中旬")*(③労働時間!$J$5:$J$353))</f>
        <v>0</v>
      </c>
      <c r="F22" s="382">
        <f>SUMPRODUCT((③労働時間!$A$5:$A$353=作業体系表!$B22)*(③労働時間!$B$5:$B$353="1月下旬")*(③労働時間!$J$5:$J$353))</f>
        <v>0</v>
      </c>
      <c r="G22" s="382">
        <f>SUMPRODUCT((③労働時間!$A$5:$A$353=作業体系表!$B22)*(③労働時間!$B$5:$B$353="2月上旬")*(③労働時間!$J$5:$J$353))</f>
        <v>0</v>
      </c>
      <c r="H22" s="382">
        <f>SUMPRODUCT((③労働時間!$A$5:$A$353=作業体系表!$B22)*(③労働時間!$B$5:$B$353="2月中旬")*(③労働時間!$J$5:$J$353))</f>
        <v>0</v>
      </c>
      <c r="I22" s="382">
        <f>SUMPRODUCT((③労働時間!$A$5:$A$353=作業体系表!$B22)*(③労働時間!$B$5:$B$353="2月下旬")*(③労働時間!$J$5:$J$353))</f>
        <v>0</v>
      </c>
      <c r="J22" s="382">
        <f>SUMPRODUCT((③労働時間!$A$5:$A$353=作業体系表!$B22)*(③労働時間!$B$5:$B$353="3月上旬")*(③労働時間!$J$5:$J$353))</f>
        <v>0</v>
      </c>
      <c r="K22" s="382">
        <f>SUMPRODUCT((③労働時間!$A$5:$A$353=作業体系表!$B22)*(③労働時間!$B$5:$B$353="3月中旬")*(③労働時間!$J$5:$J$353))</f>
        <v>0</v>
      </c>
      <c r="L22" s="382">
        <f>SUMPRODUCT((③労働時間!$A$5:$A$353=作業体系表!$B22)*(③労働時間!$B$5:$B$353="3月下旬")*(③労働時間!$J$5:$J$353))</f>
        <v>0</v>
      </c>
      <c r="M22" s="382">
        <f>SUMPRODUCT((③労働時間!$A$5:$A$353=作業体系表!$B22)*(③労働時間!$B$5:$B$353="4月上旬")*(③労働時間!$J$5:$J$353))</f>
        <v>0</v>
      </c>
      <c r="N22" s="382">
        <f>SUMPRODUCT((③労働時間!$A$5:$A$353=作業体系表!$B22)*(③労働時間!$B$5:$B$353="4月中旬")*(③労働時間!$J$5:$J$353))</f>
        <v>0</v>
      </c>
      <c r="O22" s="382">
        <f>SUMPRODUCT((③労働時間!$A$5:$A$353=作業体系表!$B22)*(③労働時間!$B$5:$B$353="4月下旬")*(③労働時間!$J$5:$J$353))</f>
        <v>0</v>
      </c>
      <c r="P22" s="383">
        <f>SUMPRODUCT((③労働時間!$A$5:$A$353=作業体系表!$B22)*(③労働時間!$B$5:$B$353="5月上旬")*(③労働時間!$J$5:$J$353))</f>
        <v>0</v>
      </c>
      <c r="Q22" s="382">
        <f>SUMPRODUCT((③労働時間!$A$5:$A$353=作業体系表!$B22)*(③労働時間!$B$5:$B$353="5月中旬")*(③労働時間!$J$5:$J$353))</f>
        <v>0</v>
      </c>
      <c r="R22" s="382">
        <f>SUMPRODUCT((③労働時間!$A$5:$A$353=作業体系表!$B22)*(③労働時間!$B$5:$B$353="5月下旬")*(③労働時間!$J$5:$J$353))</f>
        <v>0</v>
      </c>
      <c r="S22" s="382">
        <f>SUMPRODUCT((③労働時間!$A$5:$A$353=作業体系表!$B22)*(③労働時間!$B$5:$B$353="6月上旬")*(③労働時間!$J$5:$J$353))</f>
        <v>0</v>
      </c>
      <c r="T22" s="382">
        <f>SUMPRODUCT((③労働時間!$A$5:$A$353=作業体系表!$B22)*(③労働時間!$B$5:$B$353="6月中旬")*(③労働時間!$J$5:$J$353))</f>
        <v>0</v>
      </c>
      <c r="U22" s="382">
        <f>SUMPRODUCT((③労働時間!$A$5:$A$353=作業体系表!$B22)*(③労働時間!$B$5:$B$353="6月下旬")*(③労働時間!$J$5:$J$353))</f>
        <v>0</v>
      </c>
      <c r="V22" s="382">
        <f>SUMPRODUCT((③労働時間!$A$5:$A$353=作業体系表!$B22)*(③労働時間!$B$5:$B$353="7月上旬")*(③労働時間!$J$5:$J$353))</f>
        <v>0</v>
      </c>
      <c r="W22" s="382">
        <f>SUMPRODUCT((③労働時間!$A$5:$A$353=作業体系表!$B22)*(③労働時間!$B$5:$B$353="7月中旬")*(③労働時間!$J$5:$J$353))</f>
        <v>0</v>
      </c>
      <c r="X22" s="382">
        <f>SUMPRODUCT((③労働時間!$A$5:$A$353=作業体系表!$B22)*(③労働時間!$B$5:$B$353="7月下旬")*(③労働時間!$J$5:$J$353))</f>
        <v>0</v>
      </c>
      <c r="Y22" s="382">
        <f>SUMPRODUCT((③労働時間!$A$5:$A$353=作業体系表!$B22)*(③労働時間!$B$5:$B$353="8月上旬")*(③労働時間!$J$5:$J$353))</f>
        <v>0</v>
      </c>
      <c r="Z22" s="382">
        <f>SUMPRODUCT((③労働時間!$A$5:$A$353=作業体系表!$B22)*(③労働時間!$B$5:$B$353="8月中旬")*(③労働時間!$J$5:$J$353))</f>
        <v>0</v>
      </c>
      <c r="AA22" s="382">
        <f>SUMPRODUCT((③労働時間!$A$5:$A$353=作業体系表!$B22)*(③労働時間!$B$5:$B$353="8月下旬")*(③労働時間!$J$5:$J$353))</f>
        <v>0</v>
      </c>
      <c r="AB22" s="383">
        <f>SUMPRODUCT((③労働時間!$A$5:$A$353=作業体系表!$B22)*(③労働時間!$B$5:$B$353="9月上旬")*(③労働時間!$J$5:$J$353))</f>
        <v>0</v>
      </c>
      <c r="AC22" s="382">
        <f>SUMPRODUCT((③労働時間!$A$5:$A$353=作業体系表!$B22)*(③労働時間!$B$5:$B$353="9月中旬")*(③労働時間!$J$5:$J$353))</f>
        <v>0</v>
      </c>
      <c r="AD22" s="382">
        <f>SUMPRODUCT((③労働時間!$A$5:$A$353=作業体系表!$B22)*(③労働時間!$B$5:$B$353="9月下旬")*(③労働時間!$J$5:$J$353))</f>
        <v>0</v>
      </c>
      <c r="AE22" s="382">
        <f>SUMPRODUCT((③労働時間!$A$5:$A$353=作業体系表!$B22)*(③労働時間!$B$5:$B$353="10月上旬")*(③労働時間!$J$5:$J$353))</f>
        <v>0</v>
      </c>
      <c r="AF22" s="382">
        <f>SUMPRODUCT((③労働時間!$A$5:$A$353=作業体系表!$B22)*(③労働時間!$B$5:$B$353="10月中旬")*(③労働時間!$J$5:$J$353))</f>
        <v>0</v>
      </c>
      <c r="AG22" s="382">
        <f>SUMPRODUCT((③労働時間!$A$5:$A$353=作業体系表!$B22)*(③労働時間!$B$5:$B$353="10月下旬")*(③労働時間!$J$5:$J$353))</f>
        <v>0</v>
      </c>
      <c r="AH22" s="382">
        <f>SUMPRODUCT((③労働時間!$A$5:$A$353=作業体系表!$B22)*(③労働時間!$B$5:$B$353="11月上旬")*(③労働時間!$J$5:$J$353))</f>
        <v>0</v>
      </c>
      <c r="AI22" s="382">
        <f>SUMPRODUCT((③労働時間!$A$5:$A$353=作業体系表!$B22)*(③労働時間!$B$5:$B$353="11月中旬")*(③労働時間!$J$5:$J$353))</f>
        <v>0</v>
      </c>
      <c r="AJ22" s="382">
        <f>SUMPRODUCT((③労働時間!$A$5:$A$353=作業体系表!$B22)*(③労働時間!$B$5:$B$353="11月下旬")*(③労働時間!$J$5:$J$353))</f>
        <v>0</v>
      </c>
      <c r="AK22" s="382">
        <f>SUMPRODUCT((③労働時間!$A$5:$A$353=作業体系表!$B22)*(③労働時間!$B$5:$B$353="12月上旬")*(③労働時間!$J$5:$J$353))</f>
        <v>0</v>
      </c>
      <c r="AL22" s="382">
        <f>SUMPRODUCT((③労働時間!$A$5:$A$353=作業体系表!$B22)*(③労働時間!$B$5:$B$353="12月中旬")*(③労働時間!$J$5:$J$353))</f>
        <v>0</v>
      </c>
      <c r="AM22" s="384">
        <f>SUMPRODUCT((③労働時間!$A$5:$A$353=作業体系表!$B22)*(③労働時間!$B$5:$B$353="12月下旬")*(③労働時間!$J$5:$J$353))</f>
        <v>0</v>
      </c>
      <c r="AN22" s="385">
        <f t="shared" si="0"/>
        <v>0</v>
      </c>
    </row>
    <row r="23" spans="2:40" ht="15" customHeight="1">
      <c r="B23" s="708">
        <f>①技術体系!A20</f>
        <v>0</v>
      </c>
      <c r="C23" s="709"/>
      <c r="D23" s="382">
        <f>SUMPRODUCT((③労働時間!$A$5:$A$353=作業体系表!$B23)*(③労働時間!$B$5:$B$353="1月上旬")*(③労働時間!$J$5:$J$353))</f>
        <v>0</v>
      </c>
      <c r="E23" s="382">
        <f>SUMPRODUCT((③労働時間!$A$5:$A$353=作業体系表!$B23)*(③労働時間!$B$5:$B$353="1月中旬")*(③労働時間!$J$5:$J$353))</f>
        <v>0</v>
      </c>
      <c r="F23" s="382">
        <f>SUMPRODUCT((③労働時間!$A$5:$A$353=作業体系表!$B23)*(③労働時間!$B$5:$B$353="1月下旬")*(③労働時間!$J$5:$J$353))</f>
        <v>0</v>
      </c>
      <c r="G23" s="382">
        <f>SUMPRODUCT((③労働時間!$A$5:$A$353=作業体系表!$B23)*(③労働時間!$B$5:$B$353="2月上旬")*(③労働時間!$J$5:$J$353))</f>
        <v>0</v>
      </c>
      <c r="H23" s="382">
        <f>SUMPRODUCT((③労働時間!$A$5:$A$353=作業体系表!$B23)*(③労働時間!$B$5:$B$353="2月中旬")*(③労働時間!$J$5:$J$353))</f>
        <v>0</v>
      </c>
      <c r="I23" s="382">
        <f>SUMPRODUCT((③労働時間!$A$5:$A$353=作業体系表!$B23)*(③労働時間!$B$5:$B$353="2月下旬")*(③労働時間!$J$5:$J$353))</f>
        <v>0</v>
      </c>
      <c r="J23" s="382">
        <f>SUMPRODUCT((③労働時間!$A$5:$A$353=作業体系表!$B23)*(③労働時間!$B$5:$B$353="3月上旬")*(③労働時間!$J$5:$J$353))</f>
        <v>0</v>
      </c>
      <c r="K23" s="382">
        <f>SUMPRODUCT((③労働時間!$A$5:$A$353=作業体系表!$B23)*(③労働時間!$B$5:$B$353="3月中旬")*(③労働時間!$J$5:$J$353))</f>
        <v>0</v>
      </c>
      <c r="L23" s="382">
        <f>SUMPRODUCT((③労働時間!$A$5:$A$353=作業体系表!$B23)*(③労働時間!$B$5:$B$353="3月下旬")*(③労働時間!$J$5:$J$353))</f>
        <v>0</v>
      </c>
      <c r="M23" s="382">
        <f>SUMPRODUCT((③労働時間!$A$5:$A$353=作業体系表!$B23)*(③労働時間!$B$5:$B$353="4月上旬")*(③労働時間!$J$5:$J$353))</f>
        <v>0</v>
      </c>
      <c r="N23" s="382">
        <f>SUMPRODUCT((③労働時間!$A$5:$A$353=作業体系表!$B23)*(③労働時間!$B$5:$B$353="4月中旬")*(③労働時間!$J$5:$J$353))</f>
        <v>0</v>
      </c>
      <c r="O23" s="382">
        <f>SUMPRODUCT((③労働時間!$A$5:$A$353=作業体系表!$B23)*(③労働時間!$B$5:$B$353="4月下旬")*(③労働時間!$J$5:$J$353))</f>
        <v>0</v>
      </c>
      <c r="P23" s="383">
        <f>SUMPRODUCT((③労働時間!$A$5:$A$353=作業体系表!$B23)*(③労働時間!$B$5:$B$353="5月上旬")*(③労働時間!$J$5:$J$353))</f>
        <v>0</v>
      </c>
      <c r="Q23" s="382">
        <f>SUMPRODUCT((③労働時間!$A$5:$A$353=作業体系表!$B23)*(③労働時間!$B$5:$B$353="5月中旬")*(③労働時間!$J$5:$J$353))</f>
        <v>0</v>
      </c>
      <c r="R23" s="382">
        <f>SUMPRODUCT((③労働時間!$A$5:$A$353=作業体系表!$B23)*(③労働時間!$B$5:$B$353="5月下旬")*(③労働時間!$J$5:$J$353))</f>
        <v>0</v>
      </c>
      <c r="S23" s="382">
        <f>SUMPRODUCT((③労働時間!$A$5:$A$353=作業体系表!$B23)*(③労働時間!$B$5:$B$353="6月上旬")*(③労働時間!$J$5:$J$353))</f>
        <v>0</v>
      </c>
      <c r="T23" s="382">
        <f>SUMPRODUCT((③労働時間!$A$5:$A$353=作業体系表!$B23)*(③労働時間!$B$5:$B$353="6月中旬")*(③労働時間!$J$5:$J$353))</f>
        <v>0</v>
      </c>
      <c r="U23" s="382">
        <f>SUMPRODUCT((③労働時間!$A$5:$A$353=作業体系表!$B23)*(③労働時間!$B$5:$B$353="6月下旬")*(③労働時間!$J$5:$J$353))</f>
        <v>0</v>
      </c>
      <c r="V23" s="382">
        <f>SUMPRODUCT((③労働時間!$A$5:$A$353=作業体系表!$B23)*(③労働時間!$B$5:$B$353="7月上旬")*(③労働時間!$J$5:$J$353))</f>
        <v>0</v>
      </c>
      <c r="W23" s="382">
        <f>SUMPRODUCT((③労働時間!$A$5:$A$353=作業体系表!$B23)*(③労働時間!$B$5:$B$353="7月中旬")*(③労働時間!$J$5:$J$353))</f>
        <v>0</v>
      </c>
      <c r="X23" s="382">
        <f>SUMPRODUCT((③労働時間!$A$5:$A$353=作業体系表!$B23)*(③労働時間!$B$5:$B$353="7月下旬")*(③労働時間!$J$5:$J$353))</f>
        <v>0</v>
      </c>
      <c r="Y23" s="382">
        <f>SUMPRODUCT((③労働時間!$A$5:$A$353=作業体系表!$B23)*(③労働時間!$B$5:$B$353="8月上旬")*(③労働時間!$J$5:$J$353))</f>
        <v>0</v>
      </c>
      <c r="Z23" s="382">
        <f>SUMPRODUCT((③労働時間!$A$5:$A$353=作業体系表!$B23)*(③労働時間!$B$5:$B$353="8月中旬")*(③労働時間!$J$5:$J$353))</f>
        <v>0</v>
      </c>
      <c r="AA23" s="382">
        <f>SUMPRODUCT((③労働時間!$A$5:$A$353=作業体系表!$B23)*(③労働時間!$B$5:$B$353="8月下旬")*(③労働時間!$J$5:$J$353))</f>
        <v>0</v>
      </c>
      <c r="AB23" s="383">
        <f>SUMPRODUCT((③労働時間!$A$5:$A$353=作業体系表!$B23)*(③労働時間!$B$5:$B$353="9月上旬")*(③労働時間!$J$5:$J$353))</f>
        <v>0</v>
      </c>
      <c r="AC23" s="382">
        <f>SUMPRODUCT((③労働時間!$A$5:$A$353=作業体系表!$B23)*(③労働時間!$B$5:$B$353="9月中旬")*(③労働時間!$J$5:$J$353))</f>
        <v>0</v>
      </c>
      <c r="AD23" s="382">
        <f>SUMPRODUCT((③労働時間!$A$5:$A$353=作業体系表!$B23)*(③労働時間!$B$5:$B$353="9月下旬")*(③労働時間!$J$5:$J$353))</f>
        <v>0</v>
      </c>
      <c r="AE23" s="382">
        <f>SUMPRODUCT((③労働時間!$A$5:$A$353=作業体系表!$B23)*(③労働時間!$B$5:$B$353="10月上旬")*(③労働時間!$J$5:$J$353))</f>
        <v>0</v>
      </c>
      <c r="AF23" s="382">
        <f>SUMPRODUCT((③労働時間!$A$5:$A$353=作業体系表!$B23)*(③労働時間!$B$5:$B$353="10月中旬")*(③労働時間!$J$5:$J$353))</f>
        <v>0</v>
      </c>
      <c r="AG23" s="382">
        <f>SUMPRODUCT((③労働時間!$A$5:$A$353=作業体系表!$B23)*(③労働時間!$B$5:$B$353="10月下旬")*(③労働時間!$J$5:$J$353))</f>
        <v>0</v>
      </c>
      <c r="AH23" s="382">
        <f>SUMPRODUCT((③労働時間!$A$5:$A$353=作業体系表!$B23)*(③労働時間!$B$5:$B$353="11月上旬")*(③労働時間!$J$5:$J$353))</f>
        <v>0</v>
      </c>
      <c r="AI23" s="382">
        <f>SUMPRODUCT((③労働時間!$A$5:$A$353=作業体系表!$B23)*(③労働時間!$B$5:$B$353="11月中旬")*(③労働時間!$J$5:$J$353))</f>
        <v>0</v>
      </c>
      <c r="AJ23" s="382">
        <f>SUMPRODUCT((③労働時間!$A$5:$A$353=作業体系表!$B23)*(③労働時間!$B$5:$B$353="11月下旬")*(③労働時間!$J$5:$J$353))</f>
        <v>0</v>
      </c>
      <c r="AK23" s="382">
        <f>SUMPRODUCT((③労働時間!$A$5:$A$353=作業体系表!$B23)*(③労働時間!$B$5:$B$353="12月上旬")*(③労働時間!$J$5:$J$353))</f>
        <v>0</v>
      </c>
      <c r="AL23" s="382">
        <f>SUMPRODUCT((③労働時間!$A$5:$A$353=作業体系表!$B23)*(③労働時間!$B$5:$B$353="12月中旬")*(③労働時間!$J$5:$J$353))</f>
        <v>0</v>
      </c>
      <c r="AM23" s="384">
        <f>SUMPRODUCT((③労働時間!$A$5:$A$353=作業体系表!$B23)*(③労働時間!$B$5:$B$353="12月下旬")*(③労働時間!$J$5:$J$353))</f>
        <v>0</v>
      </c>
      <c r="AN23" s="385">
        <f t="shared" si="0"/>
        <v>0</v>
      </c>
    </row>
    <row r="24" spans="2:40" ht="15" customHeight="1">
      <c r="B24" s="708">
        <f>①技術体系!A21</f>
        <v>0</v>
      </c>
      <c r="C24" s="709"/>
      <c r="D24" s="382">
        <f>SUMPRODUCT((③労働時間!$A$5:$A$353=作業体系表!$B24)*(③労働時間!$B$5:$B$353="1月上旬")*(③労働時間!$J$5:$J$353))</f>
        <v>0</v>
      </c>
      <c r="E24" s="382">
        <f>SUMPRODUCT((③労働時間!$A$5:$A$353=作業体系表!$B24)*(③労働時間!$B$5:$B$353="1月中旬")*(③労働時間!$J$5:$J$353))</f>
        <v>0</v>
      </c>
      <c r="F24" s="382">
        <f>SUMPRODUCT((③労働時間!$A$5:$A$353=作業体系表!$B24)*(③労働時間!$B$5:$B$353="1月下旬")*(③労働時間!$J$5:$J$353))</f>
        <v>0</v>
      </c>
      <c r="G24" s="382">
        <f>SUMPRODUCT((③労働時間!$A$5:$A$353=作業体系表!$B24)*(③労働時間!$B$5:$B$353="2月上旬")*(③労働時間!$J$5:$J$353))</f>
        <v>0</v>
      </c>
      <c r="H24" s="382">
        <f>SUMPRODUCT((③労働時間!$A$5:$A$353=作業体系表!$B24)*(③労働時間!$B$5:$B$353="2月中旬")*(③労働時間!$J$5:$J$353))</f>
        <v>0</v>
      </c>
      <c r="I24" s="382">
        <f>SUMPRODUCT((③労働時間!$A$5:$A$353=作業体系表!$B24)*(③労働時間!$B$5:$B$353="2月下旬")*(③労働時間!$J$5:$J$353))</f>
        <v>0</v>
      </c>
      <c r="J24" s="382">
        <f>SUMPRODUCT((③労働時間!$A$5:$A$353=作業体系表!$B24)*(③労働時間!$B$5:$B$353="3月上旬")*(③労働時間!$J$5:$J$353))</f>
        <v>0</v>
      </c>
      <c r="K24" s="382">
        <f>SUMPRODUCT((③労働時間!$A$5:$A$353=作業体系表!$B24)*(③労働時間!$B$5:$B$353="3月中旬")*(③労働時間!$J$5:$J$353))</f>
        <v>0</v>
      </c>
      <c r="L24" s="382">
        <f>SUMPRODUCT((③労働時間!$A$5:$A$353=作業体系表!$B24)*(③労働時間!$B$5:$B$353="3月下旬")*(③労働時間!$J$5:$J$353))</f>
        <v>0</v>
      </c>
      <c r="M24" s="382">
        <f>SUMPRODUCT((③労働時間!$A$5:$A$353=作業体系表!$B24)*(③労働時間!$B$5:$B$353="4月上旬")*(③労働時間!$J$5:$J$353))</f>
        <v>0</v>
      </c>
      <c r="N24" s="382">
        <f>SUMPRODUCT((③労働時間!$A$5:$A$353=作業体系表!$B24)*(③労働時間!$B$5:$B$353="4月中旬")*(③労働時間!$J$5:$J$353))</f>
        <v>0</v>
      </c>
      <c r="O24" s="382">
        <f>SUMPRODUCT((③労働時間!$A$5:$A$353=作業体系表!$B24)*(③労働時間!$B$5:$B$353="4月下旬")*(③労働時間!$J$5:$J$353))</f>
        <v>0</v>
      </c>
      <c r="P24" s="383">
        <f>SUMPRODUCT((③労働時間!$A$5:$A$353=作業体系表!$B24)*(③労働時間!$B$5:$B$353="5月上旬")*(③労働時間!$J$5:$J$353))</f>
        <v>0</v>
      </c>
      <c r="Q24" s="382">
        <f>SUMPRODUCT((③労働時間!$A$5:$A$353=作業体系表!$B24)*(③労働時間!$B$5:$B$353="5月中旬")*(③労働時間!$J$5:$J$353))</f>
        <v>0</v>
      </c>
      <c r="R24" s="382">
        <f>SUMPRODUCT((③労働時間!$A$5:$A$353=作業体系表!$B24)*(③労働時間!$B$5:$B$353="5月下旬")*(③労働時間!$J$5:$J$353))</f>
        <v>0</v>
      </c>
      <c r="S24" s="382">
        <f>SUMPRODUCT((③労働時間!$A$5:$A$353=作業体系表!$B24)*(③労働時間!$B$5:$B$353="6月上旬")*(③労働時間!$J$5:$J$353))</f>
        <v>0</v>
      </c>
      <c r="T24" s="382">
        <f>SUMPRODUCT((③労働時間!$A$5:$A$353=作業体系表!$B24)*(③労働時間!$B$5:$B$353="6月中旬")*(③労働時間!$J$5:$J$353))</f>
        <v>0</v>
      </c>
      <c r="U24" s="382">
        <f>SUMPRODUCT((③労働時間!$A$5:$A$353=作業体系表!$B24)*(③労働時間!$B$5:$B$353="6月下旬")*(③労働時間!$J$5:$J$353))</f>
        <v>0</v>
      </c>
      <c r="V24" s="382">
        <f>SUMPRODUCT((③労働時間!$A$5:$A$353=作業体系表!$B24)*(③労働時間!$B$5:$B$353="7月上旬")*(③労働時間!$J$5:$J$353))</f>
        <v>0</v>
      </c>
      <c r="W24" s="382">
        <f>SUMPRODUCT((③労働時間!$A$5:$A$353=作業体系表!$B24)*(③労働時間!$B$5:$B$353="7月中旬")*(③労働時間!$J$5:$J$353))</f>
        <v>0</v>
      </c>
      <c r="X24" s="382">
        <f>SUMPRODUCT((③労働時間!$A$5:$A$353=作業体系表!$B24)*(③労働時間!$B$5:$B$353="7月下旬")*(③労働時間!$J$5:$J$353))</f>
        <v>0</v>
      </c>
      <c r="Y24" s="382">
        <f>SUMPRODUCT((③労働時間!$A$5:$A$353=作業体系表!$B24)*(③労働時間!$B$5:$B$353="8月上旬")*(③労働時間!$J$5:$J$353))</f>
        <v>0</v>
      </c>
      <c r="Z24" s="382">
        <f>SUMPRODUCT((③労働時間!$A$5:$A$353=作業体系表!$B24)*(③労働時間!$B$5:$B$353="8月中旬")*(③労働時間!$J$5:$J$353))</f>
        <v>0</v>
      </c>
      <c r="AA24" s="382">
        <f>SUMPRODUCT((③労働時間!$A$5:$A$353=作業体系表!$B24)*(③労働時間!$B$5:$B$353="8月下旬")*(③労働時間!$J$5:$J$353))</f>
        <v>0</v>
      </c>
      <c r="AB24" s="383">
        <f>SUMPRODUCT((③労働時間!$A$5:$A$353=作業体系表!$B24)*(③労働時間!$B$5:$B$353="9月上旬")*(③労働時間!$J$5:$J$353))</f>
        <v>0</v>
      </c>
      <c r="AC24" s="382">
        <f>SUMPRODUCT((③労働時間!$A$5:$A$353=作業体系表!$B24)*(③労働時間!$B$5:$B$353="9月中旬")*(③労働時間!$J$5:$J$353))</f>
        <v>0</v>
      </c>
      <c r="AD24" s="382">
        <f>SUMPRODUCT((③労働時間!$A$5:$A$353=作業体系表!$B24)*(③労働時間!$B$5:$B$353="9月下旬")*(③労働時間!$J$5:$J$353))</f>
        <v>0</v>
      </c>
      <c r="AE24" s="382">
        <f>SUMPRODUCT((③労働時間!$A$5:$A$353=作業体系表!$B24)*(③労働時間!$B$5:$B$353="10月上旬")*(③労働時間!$J$5:$J$353))</f>
        <v>0</v>
      </c>
      <c r="AF24" s="382">
        <f>SUMPRODUCT((③労働時間!$A$5:$A$353=作業体系表!$B24)*(③労働時間!$B$5:$B$353="10月中旬")*(③労働時間!$J$5:$J$353))</f>
        <v>0</v>
      </c>
      <c r="AG24" s="382">
        <f>SUMPRODUCT((③労働時間!$A$5:$A$353=作業体系表!$B24)*(③労働時間!$B$5:$B$353="10月下旬")*(③労働時間!$J$5:$J$353))</f>
        <v>0</v>
      </c>
      <c r="AH24" s="382">
        <f>SUMPRODUCT((③労働時間!$A$5:$A$353=作業体系表!$B24)*(③労働時間!$B$5:$B$353="11月上旬")*(③労働時間!$J$5:$J$353))</f>
        <v>0</v>
      </c>
      <c r="AI24" s="382">
        <f>SUMPRODUCT((③労働時間!$A$5:$A$353=作業体系表!$B24)*(③労働時間!$B$5:$B$353="11月中旬")*(③労働時間!$J$5:$J$353))</f>
        <v>0</v>
      </c>
      <c r="AJ24" s="382">
        <f>SUMPRODUCT((③労働時間!$A$5:$A$353=作業体系表!$B24)*(③労働時間!$B$5:$B$353="11月下旬")*(③労働時間!$J$5:$J$353))</f>
        <v>0</v>
      </c>
      <c r="AK24" s="382">
        <f>SUMPRODUCT((③労働時間!$A$5:$A$353=作業体系表!$B24)*(③労働時間!$B$5:$B$353="12月上旬")*(③労働時間!$J$5:$J$353))</f>
        <v>0</v>
      </c>
      <c r="AL24" s="382">
        <f>SUMPRODUCT((③労働時間!$A$5:$A$353=作業体系表!$B24)*(③労働時間!$B$5:$B$353="12月中旬")*(③労働時間!$J$5:$J$353))</f>
        <v>0</v>
      </c>
      <c r="AM24" s="384">
        <f>SUMPRODUCT((③労働時間!$A$5:$A$353=作業体系表!$B24)*(③労働時間!$B$5:$B$353="12月下旬")*(③労働時間!$J$5:$J$353))</f>
        <v>0</v>
      </c>
      <c r="AN24" s="385">
        <f t="shared" si="0"/>
        <v>0</v>
      </c>
    </row>
    <row r="25" spans="2:40" ht="15" customHeight="1">
      <c r="B25" s="708">
        <f>①技術体系!A22</f>
        <v>0</v>
      </c>
      <c r="C25" s="709"/>
      <c r="D25" s="382">
        <f>SUMPRODUCT((③労働時間!$A$5:$A$353=作業体系表!$B25)*(③労働時間!$B$5:$B$353="1月上旬")*(③労働時間!$J$5:$J$353))</f>
        <v>0</v>
      </c>
      <c r="E25" s="382">
        <f>SUMPRODUCT((③労働時間!$A$5:$A$353=作業体系表!$B25)*(③労働時間!$B$5:$B$353="1月中旬")*(③労働時間!$J$5:$J$353))</f>
        <v>0</v>
      </c>
      <c r="F25" s="382">
        <f>SUMPRODUCT((③労働時間!$A$5:$A$353=作業体系表!$B25)*(③労働時間!$B$5:$B$353="1月下旬")*(③労働時間!$J$5:$J$353))</f>
        <v>0</v>
      </c>
      <c r="G25" s="382">
        <f>SUMPRODUCT((③労働時間!$A$5:$A$353=作業体系表!$B25)*(③労働時間!$B$5:$B$353="2月上旬")*(③労働時間!$J$5:$J$353))</f>
        <v>0</v>
      </c>
      <c r="H25" s="382">
        <f>SUMPRODUCT((③労働時間!$A$5:$A$353=作業体系表!$B25)*(③労働時間!$B$5:$B$353="2月中旬")*(③労働時間!$J$5:$J$353))</f>
        <v>0</v>
      </c>
      <c r="I25" s="382">
        <f>SUMPRODUCT((③労働時間!$A$5:$A$353=作業体系表!$B25)*(③労働時間!$B$5:$B$353="2月下旬")*(③労働時間!$J$5:$J$353))</f>
        <v>0</v>
      </c>
      <c r="J25" s="382">
        <f>SUMPRODUCT((③労働時間!$A$5:$A$353=作業体系表!$B25)*(③労働時間!$B$5:$B$353="3月上旬")*(③労働時間!$J$5:$J$353))</f>
        <v>0</v>
      </c>
      <c r="K25" s="382">
        <f>SUMPRODUCT((③労働時間!$A$5:$A$353=作業体系表!$B25)*(③労働時間!$B$5:$B$353="3月中旬")*(③労働時間!$J$5:$J$353))</f>
        <v>0</v>
      </c>
      <c r="L25" s="382">
        <f>SUMPRODUCT((③労働時間!$A$5:$A$353=作業体系表!$B25)*(③労働時間!$B$5:$B$353="3月下旬")*(③労働時間!$J$5:$J$353))</f>
        <v>0</v>
      </c>
      <c r="M25" s="382">
        <f>SUMPRODUCT((③労働時間!$A$5:$A$353=作業体系表!$B25)*(③労働時間!$B$5:$B$353="4月上旬")*(③労働時間!$J$5:$J$353))</f>
        <v>0</v>
      </c>
      <c r="N25" s="382">
        <f>SUMPRODUCT((③労働時間!$A$5:$A$353=作業体系表!$B25)*(③労働時間!$B$5:$B$353="4月中旬")*(③労働時間!$J$5:$J$353))</f>
        <v>0</v>
      </c>
      <c r="O25" s="382">
        <f>SUMPRODUCT((③労働時間!$A$5:$A$353=作業体系表!$B25)*(③労働時間!$B$5:$B$353="4月下旬")*(③労働時間!$J$5:$J$353))</f>
        <v>0</v>
      </c>
      <c r="P25" s="383">
        <f>SUMPRODUCT((③労働時間!$A$5:$A$353=作業体系表!$B25)*(③労働時間!$B$5:$B$353="5月上旬")*(③労働時間!$J$5:$J$353))</f>
        <v>0</v>
      </c>
      <c r="Q25" s="382">
        <f>SUMPRODUCT((③労働時間!$A$5:$A$353=作業体系表!$B25)*(③労働時間!$B$5:$B$353="5月中旬")*(③労働時間!$J$5:$J$353))</f>
        <v>0</v>
      </c>
      <c r="R25" s="382">
        <f>SUMPRODUCT((③労働時間!$A$5:$A$353=作業体系表!$B25)*(③労働時間!$B$5:$B$353="5月下旬")*(③労働時間!$J$5:$J$353))</f>
        <v>0</v>
      </c>
      <c r="S25" s="382">
        <f>SUMPRODUCT((③労働時間!$A$5:$A$353=作業体系表!$B25)*(③労働時間!$B$5:$B$353="6月上旬")*(③労働時間!$J$5:$J$353))</f>
        <v>0</v>
      </c>
      <c r="T25" s="382">
        <f>SUMPRODUCT((③労働時間!$A$5:$A$353=作業体系表!$B25)*(③労働時間!$B$5:$B$353="6月中旬")*(③労働時間!$J$5:$J$353))</f>
        <v>0</v>
      </c>
      <c r="U25" s="382">
        <f>SUMPRODUCT((③労働時間!$A$5:$A$353=作業体系表!$B25)*(③労働時間!$B$5:$B$353="6月下旬")*(③労働時間!$J$5:$J$353))</f>
        <v>0</v>
      </c>
      <c r="V25" s="382">
        <f>SUMPRODUCT((③労働時間!$A$5:$A$353=作業体系表!$B25)*(③労働時間!$B$5:$B$353="7月上旬")*(③労働時間!$J$5:$J$353))</f>
        <v>0</v>
      </c>
      <c r="W25" s="382">
        <f>SUMPRODUCT((③労働時間!$A$5:$A$353=作業体系表!$B25)*(③労働時間!$B$5:$B$353="7月中旬")*(③労働時間!$J$5:$J$353))</f>
        <v>0</v>
      </c>
      <c r="X25" s="382">
        <f>SUMPRODUCT((③労働時間!$A$5:$A$353=作業体系表!$B25)*(③労働時間!$B$5:$B$353="7月下旬")*(③労働時間!$J$5:$J$353))</f>
        <v>0</v>
      </c>
      <c r="Y25" s="382">
        <f>SUMPRODUCT((③労働時間!$A$5:$A$353=作業体系表!$B25)*(③労働時間!$B$5:$B$353="8月上旬")*(③労働時間!$J$5:$J$353))</f>
        <v>0</v>
      </c>
      <c r="Z25" s="382">
        <f>SUMPRODUCT((③労働時間!$A$5:$A$353=作業体系表!$B25)*(③労働時間!$B$5:$B$353="8月中旬")*(③労働時間!$J$5:$J$353))</f>
        <v>0</v>
      </c>
      <c r="AA25" s="382">
        <f>SUMPRODUCT((③労働時間!$A$5:$A$353=作業体系表!$B25)*(③労働時間!$B$5:$B$353="8月下旬")*(③労働時間!$J$5:$J$353))</f>
        <v>0</v>
      </c>
      <c r="AB25" s="383">
        <f>SUMPRODUCT((③労働時間!$A$5:$A$353=作業体系表!$B25)*(③労働時間!$B$5:$B$353="9月上旬")*(③労働時間!$J$5:$J$353))</f>
        <v>0</v>
      </c>
      <c r="AC25" s="382">
        <f>SUMPRODUCT((③労働時間!$A$5:$A$353=作業体系表!$B25)*(③労働時間!$B$5:$B$353="9月中旬")*(③労働時間!$J$5:$J$353))</f>
        <v>0</v>
      </c>
      <c r="AD25" s="382">
        <f>SUMPRODUCT((③労働時間!$A$5:$A$353=作業体系表!$B25)*(③労働時間!$B$5:$B$353="9月下旬")*(③労働時間!$J$5:$J$353))</f>
        <v>0</v>
      </c>
      <c r="AE25" s="382">
        <f>SUMPRODUCT((③労働時間!$A$5:$A$353=作業体系表!$B25)*(③労働時間!$B$5:$B$353="10月上旬")*(③労働時間!$J$5:$J$353))</f>
        <v>0</v>
      </c>
      <c r="AF25" s="382">
        <f>SUMPRODUCT((③労働時間!$A$5:$A$353=作業体系表!$B25)*(③労働時間!$B$5:$B$353="10月中旬")*(③労働時間!$J$5:$J$353))</f>
        <v>0</v>
      </c>
      <c r="AG25" s="382">
        <f>SUMPRODUCT((③労働時間!$A$5:$A$353=作業体系表!$B25)*(③労働時間!$B$5:$B$353="10月下旬")*(③労働時間!$J$5:$J$353))</f>
        <v>0</v>
      </c>
      <c r="AH25" s="382">
        <f>SUMPRODUCT((③労働時間!$A$5:$A$353=作業体系表!$B25)*(③労働時間!$B$5:$B$353="11月上旬")*(③労働時間!$J$5:$J$353))</f>
        <v>0</v>
      </c>
      <c r="AI25" s="382">
        <f>SUMPRODUCT((③労働時間!$A$5:$A$353=作業体系表!$B25)*(③労働時間!$B$5:$B$353="11月中旬")*(③労働時間!$J$5:$J$353))</f>
        <v>0</v>
      </c>
      <c r="AJ25" s="382">
        <f>SUMPRODUCT((③労働時間!$A$5:$A$353=作業体系表!$B25)*(③労働時間!$B$5:$B$353="11月下旬")*(③労働時間!$J$5:$J$353))</f>
        <v>0</v>
      </c>
      <c r="AK25" s="382">
        <f>SUMPRODUCT((③労働時間!$A$5:$A$353=作業体系表!$B25)*(③労働時間!$B$5:$B$353="12月上旬")*(③労働時間!$J$5:$J$353))</f>
        <v>0</v>
      </c>
      <c r="AL25" s="382">
        <f>SUMPRODUCT((③労働時間!$A$5:$A$353=作業体系表!$B25)*(③労働時間!$B$5:$B$353="12月中旬")*(③労働時間!$J$5:$J$353))</f>
        <v>0</v>
      </c>
      <c r="AM25" s="384">
        <f>SUMPRODUCT((③労働時間!$A$5:$A$353=作業体系表!$B25)*(③労働時間!$B$5:$B$353="12月下旬")*(③労働時間!$J$5:$J$353))</f>
        <v>0</v>
      </c>
      <c r="AN25" s="385">
        <f t="shared" si="0"/>
        <v>0</v>
      </c>
    </row>
    <row r="26" spans="2:40" ht="15" customHeight="1">
      <c r="B26" s="708">
        <f>①技術体系!A23</f>
        <v>0</v>
      </c>
      <c r="C26" s="709"/>
      <c r="D26" s="382">
        <f>SUMPRODUCT((③労働時間!$A$5:$A$353=作業体系表!$B26)*(③労働時間!$B$5:$B$353="1月上旬")*(③労働時間!$J$5:$J$353))</f>
        <v>0</v>
      </c>
      <c r="E26" s="382">
        <f>SUMPRODUCT((③労働時間!$A$5:$A$353=作業体系表!$B26)*(③労働時間!$B$5:$B$353="1月中旬")*(③労働時間!$J$5:$J$353))</f>
        <v>0</v>
      </c>
      <c r="F26" s="382">
        <f>SUMPRODUCT((③労働時間!$A$5:$A$353=作業体系表!$B26)*(③労働時間!$B$5:$B$353="1月下旬")*(③労働時間!$J$5:$J$353))</f>
        <v>0</v>
      </c>
      <c r="G26" s="382">
        <f>SUMPRODUCT((③労働時間!$A$5:$A$353=作業体系表!$B26)*(③労働時間!$B$5:$B$353="2月上旬")*(③労働時間!$J$5:$J$353))</f>
        <v>0</v>
      </c>
      <c r="H26" s="382">
        <f>SUMPRODUCT((③労働時間!$A$5:$A$353=作業体系表!$B26)*(③労働時間!$B$5:$B$353="2月中旬")*(③労働時間!$J$5:$J$353))</f>
        <v>0</v>
      </c>
      <c r="I26" s="382">
        <f>SUMPRODUCT((③労働時間!$A$5:$A$353=作業体系表!$B26)*(③労働時間!$B$5:$B$353="2月下旬")*(③労働時間!$J$5:$J$353))</f>
        <v>0</v>
      </c>
      <c r="J26" s="382">
        <f>SUMPRODUCT((③労働時間!$A$5:$A$353=作業体系表!$B26)*(③労働時間!$B$5:$B$353="3月上旬")*(③労働時間!$J$5:$J$353))</f>
        <v>0</v>
      </c>
      <c r="K26" s="382">
        <f>SUMPRODUCT((③労働時間!$A$5:$A$353=作業体系表!$B26)*(③労働時間!$B$5:$B$353="3月中旬")*(③労働時間!$J$5:$J$353))</f>
        <v>0</v>
      </c>
      <c r="L26" s="382">
        <f>SUMPRODUCT((③労働時間!$A$5:$A$353=作業体系表!$B26)*(③労働時間!$B$5:$B$353="3月下旬")*(③労働時間!$J$5:$J$353))</f>
        <v>0</v>
      </c>
      <c r="M26" s="382">
        <f>SUMPRODUCT((③労働時間!$A$5:$A$353=作業体系表!$B26)*(③労働時間!$B$5:$B$353="4月上旬")*(③労働時間!$J$5:$J$353))</f>
        <v>0</v>
      </c>
      <c r="N26" s="382">
        <f>SUMPRODUCT((③労働時間!$A$5:$A$353=作業体系表!$B26)*(③労働時間!$B$5:$B$353="4月中旬")*(③労働時間!$J$5:$J$353))</f>
        <v>0</v>
      </c>
      <c r="O26" s="382">
        <f>SUMPRODUCT((③労働時間!$A$5:$A$353=作業体系表!$B26)*(③労働時間!$B$5:$B$353="4月下旬")*(③労働時間!$J$5:$J$353))</f>
        <v>0</v>
      </c>
      <c r="P26" s="383">
        <f>SUMPRODUCT((③労働時間!$A$5:$A$353=作業体系表!$B26)*(③労働時間!$B$5:$B$353="5月上旬")*(③労働時間!$J$5:$J$353))</f>
        <v>0</v>
      </c>
      <c r="Q26" s="382">
        <f>SUMPRODUCT((③労働時間!$A$5:$A$353=作業体系表!$B26)*(③労働時間!$B$5:$B$353="5月中旬")*(③労働時間!$J$5:$J$353))</f>
        <v>0</v>
      </c>
      <c r="R26" s="382">
        <f>SUMPRODUCT((③労働時間!$A$5:$A$353=作業体系表!$B26)*(③労働時間!$B$5:$B$353="5月下旬")*(③労働時間!$J$5:$J$353))</f>
        <v>0</v>
      </c>
      <c r="S26" s="382">
        <f>SUMPRODUCT((③労働時間!$A$5:$A$353=作業体系表!$B26)*(③労働時間!$B$5:$B$353="6月上旬")*(③労働時間!$J$5:$J$353))</f>
        <v>0</v>
      </c>
      <c r="T26" s="382">
        <f>SUMPRODUCT((③労働時間!$A$5:$A$353=作業体系表!$B26)*(③労働時間!$B$5:$B$353="6月中旬")*(③労働時間!$J$5:$J$353))</f>
        <v>0</v>
      </c>
      <c r="U26" s="382">
        <f>SUMPRODUCT((③労働時間!$A$5:$A$353=作業体系表!$B26)*(③労働時間!$B$5:$B$353="6月下旬")*(③労働時間!$J$5:$J$353))</f>
        <v>0</v>
      </c>
      <c r="V26" s="382">
        <f>SUMPRODUCT((③労働時間!$A$5:$A$353=作業体系表!$B26)*(③労働時間!$B$5:$B$353="7月上旬")*(③労働時間!$J$5:$J$353))</f>
        <v>0</v>
      </c>
      <c r="W26" s="382">
        <f>SUMPRODUCT((③労働時間!$A$5:$A$353=作業体系表!$B26)*(③労働時間!$B$5:$B$353="7月中旬")*(③労働時間!$J$5:$J$353))</f>
        <v>0</v>
      </c>
      <c r="X26" s="382">
        <f>SUMPRODUCT((③労働時間!$A$5:$A$353=作業体系表!$B26)*(③労働時間!$B$5:$B$353="7月下旬")*(③労働時間!$J$5:$J$353))</f>
        <v>0</v>
      </c>
      <c r="Y26" s="382">
        <f>SUMPRODUCT((③労働時間!$A$5:$A$353=作業体系表!$B26)*(③労働時間!$B$5:$B$353="8月上旬")*(③労働時間!$J$5:$J$353))</f>
        <v>0</v>
      </c>
      <c r="Z26" s="382">
        <f>SUMPRODUCT((③労働時間!$A$5:$A$353=作業体系表!$B26)*(③労働時間!$B$5:$B$353="8月中旬")*(③労働時間!$J$5:$J$353))</f>
        <v>0</v>
      </c>
      <c r="AA26" s="382">
        <f>SUMPRODUCT((③労働時間!$A$5:$A$353=作業体系表!$B26)*(③労働時間!$B$5:$B$353="8月下旬")*(③労働時間!$J$5:$J$353))</f>
        <v>0</v>
      </c>
      <c r="AB26" s="383">
        <f>SUMPRODUCT((③労働時間!$A$5:$A$353=作業体系表!$B26)*(③労働時間!$B$5:$B$353="9月上旬")*(③労働時間!$J$5:$J$353))</f>
        <v>0</v>
      </c>
      <c r="AC26" s="382">
        <f>SUMPRODUCT((③労働時間!$A$5:$A$353=作業体系表!$B26)*(③労働時間!$B$5:$B$353="9月中旬")*(③労働時間!$J$5:$J$353))</f>
        <v>0</v>
      </c>
      <c r="AD26" s="382">
        <f>SUMPRODUCT((③労働時間!$A$5:$A$353=作業体系表!$B26)*(③労働時間!$B$5:$B$353="9月下旬")*(③労働時間!$J$5:$J$353))</f>
        <v>0</v>
      </c>
      <c r="AE26" s="382">
        <f>SUMPRODUCT((③労働時間!$A$5:$A$353=作業体系表!$B26)*(③労働時間!$B$5:$B$353="10月上旬")*(③労働時間!$J$5:$J$353))</f>
        <v>0</v>
      </c>
      <c r="AF26" s="382">
        <f>SUMPRODUCT((③労働時間!$A$5:$A$353=作業体系表!$B26)*(③労働時間!$B$5:$B$353="10月中旬")*(③労働時間!$J$5:$J$353))</f>
        <v>0</v>
      </c>
      <c r="AG26" s="382">
        <f>SUMPRODUCT((③労働時間!$A$5:$A$353=作業体系表!$B26)*(③労働時間!$B$5:$B$353="10月下旬")*(③労働時間!$J$5:$J$353))</f>
        <v>0</v>
      </c>
      <c r="AH26" s="382">
        <f>SUMPRODUCT((③労働時間!$A$5:$A$353=作業体系表!$B26)*(③労働時間!$B$5:$B$353="11月上旬")*(③労働時間!$J$5:$J$353))</f>
        <v>0</v>
      </c>
      <c r="AI26" s="382">
        <f>SUMPRODUCT((③労働時間!$A$5:$A$353=作業体系表!$B26)*(③労働時間!$B$5:$B$353="11月中旬")*(③労働時間!$J$5:$J$353))</f>
        <v>0</v>
      </c>
      <c r="AJ26" s="382">
        <f>SUMPRODUCT((③労働時間!$A$5:$A$353=作業体系表!$B26)*(③労働時間!$B$5:$B$353="11月下旬")*(③労働時間!$J$5:$J$353))</f>
        <v>0</v>
      </c>
      <c r="AK26" s="382">
        <f>SUMPRODUCT((③労働時間!$A$5:$A$353=作業体系表!$B26)*(③労働時間!$B$5:$B$353="12月上旬")*(③労働時間!$J$5:$J$353))</f>
        <v>0</v>
      </c>
      <c r="AL26" s="382">
        <f>SUMPRODUCT((③労働時間!$A$5:$A$353=作業体系表!$B26)*(③労働時間!$B$5:$B$353="12月中旬")*(③労働時間!$J$5:$J$353))</f>
        <v>0</v>
      </c>
      <c r="AM26" s="384">
        <f>SUMPRODUCT((③労働時間!$A$5:$A$353=作業体系表!$B26)*(③労働時間!$B$5:$B$353="12月下旬")*(③労働時間!$J$5:$J$353))</f>
        <v>0</v>
      </c>
      <c r="AN26" s="385">
        <f t="shared" si="0"/>
        <v>0</v>
      </c>
    </row>
    <row r="27" spans="2:40" ht="15" customHeight="1">
      <c r="B27" s="708">
        <f>①技術体系!A24</f>
        <v>0</v>
      </c>
      <c r="C27" s="709"/>
      <c r="D27" s="382">
        <f>SUMPRODUCT((③労働時間!$A$5:$A$353=作業体系表!$B27)*(③労働時間!$B$5:$B$353="1月上旬")*(③労働時間!$J$5:$J$353))</f>
        <v>0</v>
      </c>
      <c r="E27" s="382">
        <f>SUMPRODUCT((③労働時間!$A$5:$A$353=作業体系表!$B27)*(③労働時間!$B$5:$B$353="1月中旬")*(③労働時間!$J$5:$J$353))</f>
        <v>0</v>
      </c>
      <c r="F27" s="382">
        <f>SUMPRODUCT((③労働時間!$A$5:$A$353=作業体系表!$B27)*(③労働時間!$B$5:$B$353="1月下旬")*(③労働時間!$J$5:$J$353))</f>
        <v>0</v>
      </c>
      <c r="G27" s="382">
        <f>SUMPRODUCT((③労働時間!$A$5:$A$353=作業体系表!$B27)*(③労働時間!$B$5:$B$353="2月上旬")*(③労働時間!$J$5:$J$353))</f>
        <v>0</v>
      </c>
      <c r="H27" s="382">
        <f>SUMPRODUCT((③労働時間!$A$5:$A$353=作業体系表!$B27)*(③労働時間!$B$5:$B$353="2月中旬")*(③労働時間!$J$5:$J$353))</f>
        <v>0</v>
      </c>
      <c r="I27" s="382">
        <f>SUMPRODUCT((③労働時間!$A$5:$A$353=作業体系表!$B27)*(③労働時間!$B$5:$B$353="2月下旬")*(③労働時間!$J$5:$J$353))</f>
        <v>0</v>
      </c>
      <c r="J27" s="382">
        <f>SUMPRODUCT((③労働時間!$A$5:$A$353=作業体系表!$B27)*(③労働時間!$B$5:$B$353="3月上旬")*(③労働時間!$J$5:$J$353))</f>
        <v>0</v>
      </c>
      <c r="K27" s="382">
        <f>SUMPRODUCT((③労働時間!$A$5:$A$353=作業体系表!$B27)*(③労働時間!$B$5:$B$353="3月中旬")*(③労働時間!$J$5:$J$353))</f>
        <v>0</v>
      </c>
      <c r="L27" s="382">
        <f>SUMPRODUCT((③労働時間!$A$5:$A$353=作業体系表!$B27)*(③労働時間!$B$5:$B$353="3月下旬")*(③労働時間!$J$5:$J$353))</f>
        <v>0</v>
      </c>
      <c r="M27" s="382">
        <f>SUMPRODUCT((③労働時間!$A$5:$A$353=作業体系表!$B27)*(③労働時間!$B$5:$B$353="4月上旬")*(③労働時間!$J$5:$J$353))</f>
        <v>0</v>
      </c>
      <c r="N27" s="382">
        <f>SUMPRODUCT((③労働時間!$A$5:$A$353=作業体系表!$B27)*(③労働時間!$B$5:$B$353="4月中旬")*(③労働時間!$J$5:$J$353))</f>
        <v>0</v>
      </c>
      <c r="O27" s="382">
        <f>SUMPRODUCT((③労働時間!$A$5:$A$353=作業体系表!$B27)*(③労働時間!$B$5:$B$353="4月下旬")*(③労働時間!$J$5:$J$353))</f>
        <v>0</v>
      </c>
      <c r="P27" s="383">
        <f>SUMPRODUCT((③労働時間!$A$5:$A$353=作業体系表!$B27)*(③労働時間!$B$5:$B$353="5月上旬")*(③労働時間!$J$5:$J$353))</f>
        <v>0</v>
      </c>
      <c r="Q27" s="382">
        <f>SUMPRODUCT((③労働時間!$A$5:$A$353=作業体系表!$B27)*(③労働時間!$B$5:$B$353="5月中旬")*(③労働時間!$J$5:$J$353))</f>
        <v>0</v>
      </c>
      <c r="R27" s="382">
        <f>SUMPRODUCT((③労働時間!$A$5:$A$353=作業体系表!$B27)*(③労働時間!$B$5:$B$353="5月下旬")*(③労働時間!$J$5:$J$353))</f>
        <v>0</v>
      </c>
      <c r="S27" s="382">
        <f>SUMPRODUCT((③労働時間!$A$5:$A$353=作業体系表!$B27)*(③労働時間!$B$5:$B$353="6月上旬")*(③労働時間!$J$5:$J$353))</f>
        <v>0</v>
      </c>
      <c r="T27" s="382">
        <f>SUMPRODUCT((③労働時間!$A$5:$A$353=作業体系表!$B27)*(③労働時間!$B$5:$B$353="6月中旬")*(③労働時間!$J$5:$J$353))</f>
        <v>0</v>
      </c>
      <c r="U27" s="382">
        <f>SUMPRODUCT((③労働時間!$A$5:$A$353=作業体系表!$B27)*(③労働時間!$B$5:$B$353="6月下旬")*(③労働時間!$J$5:$J$353))</f>
        <v>0</v>
      </c>
      <c r="V27" s="382">
        <f>SUMPRODUCT((③労働時間!$A$5:$A$353=作業体系表!$B27)*(③労働時間!$B$5:$B$353="7月上旬")*(③労働時間!$J$5:$J$353))</f>
        <v>0</v>
      </c>
      <c r="W27" s="382">
        <f>SUMPRODUCT((③労働時間!$A$5:$A$353=作業体系表!$B27)*(③労働時間!$B$5:$B$353="7月中旬")*(③労働時間!$J$5:$J$353))</f>
        <v>0</v>
      </c>
      <c r="X27" s="382">
        <f>SUMPRODUCT((③労働時間!$A$5:$A$353=作業体系表!$B27)*(③労働時間!$B$5:$B$353="7月下旬")*(③労働時間!$J$5:$J$353))</f>
        <v>0</v>
      </c>
      <c r="Y27" s="382">
        <f>SUMPRODUCT((③労働時間!$A$5:$A$353=作業体系表!$B27)*(③労働時間!$B$5:$B$353="8月上旬")*(③労働時間!$J$5:$J$353))</f>
        <v>0</v>
      </c>
      <c r="Z27" s="382">
        <f>SUMPRODUCT((③労働時間!$A$5:$A$353=作業体系表!$B27)*(③労働時間!$B$5:$B$353="8月中旬")*(③労働時間!$J$5:$J$353))</f>
        <v>0</v>
      </c>
      <c r="AA27" s="382">
        <f>SUMPRODUCT((③労働時間!$A$5:$A$353=作業体系表!$B27)*(③労働時間!$B$5:$B$353="8月下旬")*(③労働時間!$J$5:$J$353))</f>
        <v>0</v>
      </c>
      <c r="AB27" s="383">
        <f>SUMPRODUCT((③労働時間!$A$5:$A$353=作業体系表!$B27)*(③労働時間!$B$5:$B$353="9月上旬")*(③労働時間!$J$5:$J$353))</f>
        <v>0</v>
      </c>
      <c r="AC27" s="382">
        <f>SUMPRODUCT((③労働時間!$A$5:$A$353=作業体系表!$B27)*(③労働時間!$B$5:$B$353="9月中旬")*(③労働時間!$J$5:$J$353))</f>
        <v>0</v>
      </c>
      <c r="AD27" s="382">
        <f>SUMPRODUCT((③労働時間!$A$5:$A$353=作業体系表!$B27)*(③労働時間!$B$5:$B$353="9月下旬")*(③労働時間!$J$5:$J$353))</f>
        <v>0</v>
      </c>
      <c r="AE27" s="382">
        <f>SUMPRODUCT((③労働時間!$A$5:$A$353=作業体系表!$B27)*(③労働時間!$B$5:$B$353="10月上旬")*(③労働時間!$J$5:$J$353))</f>
        <v>0</v>
      </c>
      <c r="AF27" s="382">
        <f>SUMPRODUCT((③労働時間!$A$5:$A$353=作業体系表!$B27)*(③労働時間!$B$5:$B$353="10月中旬")*(③労働時間!$J$5:$J$353))</f>
        <v>0</v>
      </c>
      <c r="AG27" s="382">
        <f>SUMPRODUCT((③労働時間!$A$5:$A$353=作業体系表!$B27)*(③労働時間!$B$5:$B$353="10月下旬")*(③労働時間!$J$5:$J$353))</f>
        <v>0</v>
      </c>
      <c r="AH27" s="382">
        <f>SUMPRODUCT((③労働時間!$A$5:$A$353=作業体系表!$B27)*(③労働時間!$B$5:$B$353="11月上旬")*(③労働時間!$J$5:$J$353))</f>
        <v>0</v>
      </c>
      <c r="AI27" s="382">
        <f>SUMPRODUCT((③労働時間!$A$5:$A$353=作業体系表!$B27)*(③労働時間!$B$5:$B$353="11月中旬")*(③労働時間!$J$5:$J$353))</f>
        <v>0</v>
      </c>
      <c r="AJ27" s="382">
        <f>SUMPRODUCT((③労働時間!$A$5:$A$353=作業体系表!$B27)*(③労働時間!$B$5:$B$353="11月下旬")*(③労働時間!$J$5:$J$353))</f>
        <v>0</v>
      </c>
      <c r="AK27" s="382">
        <f>SUMPRODUCT((③労働時間!$A$5:$A$353=作業体系表!$B27)*(③労働時間!$B$5:$B$353="12月上旬")*(③労働時間!$J$5:$J$353))</f>
        <v>0</v>
      </c>
      <c r="AL27" s="382">
        <f>SUMPRODUCT((③労働時間!$A$5:$A$353=作業体系表!$B27)*(③労働時間!$B$5:$B$353="12月中旬")*(③労働時間!$J$5:$J$353))</f>
        <v>0</v>
      </c>
      <c r="AM27" s="384">
        <f>SUMPRODUCT((③労働時間!$A$5:$A$353=作業体系表!$B27)*(③労働時間!$B$5:$B$353="12月下旬")*(③労働時間!$J$5:$J$353))</f>
        <v>0</v>
      </c>
      <c r="AN27" s="385">
        <f t="shared" si="0"/>
        <v>0</v>
      </c>
    </row>
    <row r="28" spans="2:40" ht="15" customHeight="1">
      <c r="B28" s="708">
        <f>①技術体系!A25</f>
        <v>0</v>
      </c>
      <c r="C28" s="709"/>
      <c r="D28" s="382">
        <f>SUMPRODUCT((③労働時間!$A$5:$A$353=作業体系表!$B28)*(③労働時間!$B$5:$B$353="1月上旬")*(③労働時間!$J$5:$J$353))</f>
        <v>0</v>
      </c>
      <c r="E28" s="382">
        <f>SUMPRODUCT((③労働時間!$A$5:$A$353=作業体系表!$B28)*(③労働時間!$B$5:$B$353="1月中旬")*(③労働時間!$J$5:$J$353))</f>
        <v>0</v>
      </c>
      <c r="F28" s="382">
        <f>SUMPRODUCT((③労働時間!$A$5:$A$353=作業体系表!$B28)*(③労働時間!$B$5:$B$353="1月下旬")*(③労働時間!$J$5:$J$353))</f>
        <v>0</v>
      </c>
      <c r="G28" s="382">
        <f>SUMPRODUCT((③労働時間!$A$5:$A$353=作業体系表!$B28)*(③労働時間!$B$5:$B$353="2月上旬")*(③労働時間!$J$5:$J$353))</f>
        <v>0</v>
      </c>
      <c r="H28" s="382">
        <f>SUMPRODUCT((③労働時間!$A$5:$A$353=作業体系表!$B28)*(③労働時間!$B$5:$B$353="2月中旬")*(③労働時間!$J$5:$J$353))</f>
        <v>0</v>
      </c>
      <c r="I28" s="382">
        <f>SUMPRODUCT((③労働時間!$A$5:$A$353=作業体系表!$B28)*(③労働時間!$B$5:$B$353="2月下旬")*(③労働時間!$J$5:$J$353))</f>
        <v>0</v>
      </c>
      <c r="J28" s="382">
        <f>SUMPRODUCT((③労働時間!$A$5:$A$353=作業体系表!$B28)*(③労働時間!$B$5:$B$353="3月上旬")*(③労働時間!$J$5:$J$353))</f>
        <v>0</v>
      </c>
      <c r="K28" s="382">
        <f>SUMPRODUCT((③労働時間!$A$5:$A$353=作業体系表!$B28)*(③労働時間!$B$5:$B$353="3月中旬")*(③労働時間!$J$5:$J$353))</f>
        <v>0</v>
      </c>
      <c r="L28" s="382">
        <f>SUMPRODUCT((③労働時間!$A$5:$A$353=作業体系表!$B28)*(③労働時間!$B$5:$B$353="3月下旬")*(③労働時間!$J$5:$J$353))</f>
        <v>0</v>
      </c>
      <c r="M28" s="382">
        <f>SUMPRODUCT((③労働時間!$A$5:$A$353=作業体系表!$B28)*(③労働時間!$B$5:$B$353="4月上旬")*(③労働時間!$J$5:$J$353))</f>
        <v>0</v>
      </c>
      <c r="N28" s="382">
        <f>SUMPRODUCT((③労働時間!$A$5:$A$353=作業体系表!$B28)*(③労働時間!$B$5:$B$353="4月中旬")*(③労働時間!$J$5:$J$353))</f>
        <v>0</v>
      </c>
      <c r="O28" s="382">
        <f>SUMPRODUCT((③労働時間!$A$5:$A$353=作業体系表!$B28)*(③労働時間!$B$5:$B$353="4月下旬")*(③労働時間!$J$5:$J$353))</f>
        <v>0</v>
      </c>
      <c r="P28" s="383">
        <f>SUMPRODUCT((③労働時間!$A$5:$A$353=作業体系表!$B28)*(③労働時間!$B$5:$B$353="5月上旬")*(③労働時間!$J$5:$J$353))</f>
        <v>0</v>
      </c>
      <c r="Q28" s="382">
        <f>SUMPRODUCT((③労働時間!$A$5:$A$353=作業体系表!$B28)*(③労働時間!$B$5:$B$353="5月中旬")*(③労働時間!$J$5:$J$353))</f>
        <v>0</v>
      </c>
      <c r="R28" s="382">
        <f>SUMPRODUCT((③労働時間!$A$5:$A$353=作業体系表!$B28)*(③労働時間!$B$5:$B$353="5月下旬")*(③労働時間!$J$5:$J$353))</f>
        <v>0</v>
      </c>
      <c r="S28" s="382">
        <f>SUMPRODUCT((③労働時間!$A$5:$A$353=作業体系表!$B28)*(③労働時間!$B$5:$B$353="6月上旬")*(③労働時間!$J$5:$J$353))</f>
        <v>0</v>
      </c>
      <c r="T28" s="382">
        <f>SUMPRODUCT((③労働時間!$A$5:$A$353=作業体系表!$B28)*(③労働時間!$B$5:$B$353="6月中旬")*(③労働時間!$J$5:$J$353))</f>
        <v>0</v>
      </c>
      <c r="U28" s="382">
        <f>SUMPRODUCT((③労働時間!$A$5:$A$353=作業体系表!$B28)*(③労働時間!$B$5:$B$353="6月下旬")*(③労働時間!$J$5:$J$353))</f>
        <v>0</v>
      </c>
      <c r="V28" s="382">
        <f>SUMPRODUCT((③労働時間!$A$5:$A$353=作業体系表!$B28)*(③労働時間!$B$5:$B$353="7月上旬")*(③労働時間!$J$5:$J$353))</f>
        <v>0</v>
      </c>
      <c r="W28" s="382">
        <f>SUMPRODUCT((③労働時間!$A$5:$A$353=作業体系表!$B28)*(③労働時間!$B$5:$B$353="7月中旬")*(③労働時間!$J$5:$J$353))</f>
        <v>0</v>
      </c>
      <c r="X28" s="382">
        <f>SUMPRODUCT((③労働時間!$A$5:$A$353=作業体系表!$B28)*(③労働時間!$B$5:$B$353="7月下旬")*(③労働時間!$J$5:$J$353))</f>
        <v>0</v>
      </c>
      <c r="Y28" s="382">
        <f>SUMPRODUCT((③労働時間!$A$5:$A$353=作業体系表!$B28)*(③労働時間!$B$5:$B$353="8月上旬")*(③労働時間!$J$5:$J$353))</f>
        <v>0</v>
      </c>
      <c r="Z28" s="382">
        <f>SUMPRODUCT((③労働時間!$A$5:$A$353=作業体系表!$B28)*(③労働時間!$B$5:$B$353="8月中旬")*(③労働時間!$J$5:$J$353))</f>
        <v>0</v>
      </c>
      <c r="AA28" s="382">
        <f>SUMPRODUCT((③労働時間!$A$5:$A$353=作業体系表!$B28)*(③労働時間!$B$5:$B$353="8月下旬")*(③労働時間!$J$5:$J$353))</f>
        <v>0</v>
      </c>
      <c r="AB28" s="383">
        <f>SUMPRODUCT((③労働時間!$A$5:$A$353=作業体系表!$B28)*(③労働時間!$B$5:$B$353="9月上旬")*(③労働時間!$J$5:$J$353))</f>
        <v>0</v>
      </c>
      <c r="AC28" s="382">
        <f>SUMPRODUCT((③労働時間!$A$5:$A$353=作業体系表!$B28)*(③労働時間!$B$5:$B$353="9月中旬")*(③労働時間!$J$5:$J$353))</f>
        <v>0</v>
      </c>
      <c r="AD28" s="382">
        <f>SUMPRODUCT((③労働時間!$A$5:$A$353=作業体系表!$B28)*(③労働時間!$B$5:$B$353="9月下旬")*(③労働時間!$J$5:$J$353))</f>
        <v>0</v>
      </c>
      <c r="AE28" s="382">
        <f>SUMPRODUCT((③労働時間!$A$5:$A$353=作業体系表!$B28)*(③労働時間!$B$5:$B$353="10月上旬")*(③労働時間!$J$5:$J$353))</f>
        <v>0</v>
      </c>
      <c r="AF28" s="382">
        <f>SUMPRODUCT((③労働時間!$A$5:$A$353=作業体系表!$B28)*(③労働時間!$B$5:$B$353="10月中旬")*(③労働時間!$J$5:$J$353))</f>
        <v>0</v>
      </c>
      <c r="AG28" s="382">
        <f>SUMPRODUCT((③労働時間!$A$5:$A$353=作業体系表!$B28)*(③労働時間!$B$5:$B$353="10月下旬")*(③労働時間!$J$5:$J$353))</f>
        <v>0</v>
      </c>
      <c r="AH28" s="382">
        <f>SUMPRODUCT((③労働時間!$A$5:$A$353=作業体系表!$B28)*(③労働時間!$B$5:$B$353="11月上旬")*(③労働時間!$J$5:$J$353))</f>
        <v>0</v>
      </c>
      <c r="AI28" s="382">
        <f>SUMPRODUCT((③労働時間!$A$5:$A$353=作業体系表!$B28)*(③労働時間!$B$5:$B$353="11月中旬")*(③労働時間!$J$5:$J$353))</f>
        <v>0</v>
      </c>
      <c r="AJ28" s="382">
        <f>SUMPRODUCT((③労働時間!$A$5:$A$353=作業体系表!$B28)*(③労働時間!$B$5:$B$353="11月下旬")*(③労働時間!$J$5:$J$353))</f>
        <v>0</v>
      </c>
      <c r="AK28" s="382">
        <f>SUMPRODUCT((③労働時間!$A$5:$A$353=作業体系表!$B28)*(③労働時間!$B$5:$B$353="12月上旬")*(③労働時間!$J$5:$J$353))</f>
        <v>0</v>
      </c>
      <c r="AL28" s="382">
        <f>SUMPRODUCT((③労働時間!$A$5:$A$353=作業体系表!$B28)*(③労働時間!$B$5:$B$353="12月中旬")*(③労働時間!$J$5:$J$353))</f>
        <v>0</v>
      </c>
      <c r="AM28" s="384">
        <f>SUMPRODUCT((③労働時間!$A$5:$A$353=作業体系表!$B28)*(③労働時間!$B$5:$B$353="12月下旬")*(③労働時間!$J$5:$J$353))</f>
        <v>0</v>
      </c>
      <c r="AN28" s="386">
        <f t="shared" si="0"/>
        <v>0</v>
      </c>
    </row>
    <row r="29" spans="2:40" s="445" customFormat="1" ht="12" customHeight="1">
      <c r="B29" s="712" t="s">
        <v>132</v>
      </c>
      <c r="C29" s="444" t="s">
        <v>138</v>
      </c>
      <c r="D29" s="389">
        <f>SUMPRODUCT((③労働時間!$B$5:$B$353="1月上旬")*(③労働時間!$Q$5:$Q$353))</f>
        <v>0</v>
      </c>
      <c r="E29" s="390">
        <f>SUMPRODUCT((③労働時間!$B$5:$B$353="1月中旬")*(③労働時間!$Q$5:$Q$353))</f>
        <v>0</v>
      </c>
      <c r="F29" s="390">
        <f>SUMPRODUCT((③労働時間!$B$5:$B$353="1月下旬")*(③労働時間!$Q$5:$Q$353))</f>
        <v>0.64620963327859893</v>
      </c>
      <c r="G29" s="390">
        <f>SUMPRODUCT((③労働時間!$B$5:$B$353="2月上旬")*(③労働時間!$Q$5:$Q$353))</f>
        <v>0.20833333333333331</v>
      </c>
      <c r="H29" s="390">
        <f>SUMPRODUCT((③労働時間!$B$5:$B$353="2月中旬")*(③労働時間!$Q$5:$Q$353))</f>
        <v>0.57870370370370372</v>
      </c>
      <c r="I29" s="390">
        <f>SUMPRODUCT((③労働時間!$B$5:$B$353="2月下旬")*(③労働時間!$Q$5:$Q$353))</f>
        <v>0.20833333333333331</v>
      </c>
      <c r="J29" s="390">
        <f>SUMPRODUCT((③労働時間!$B$5:$B$353="3月上旬")*(③労働時間!$Q$5:$Q$353))</f>
        <v>0.87575259989053111</v>
      </c>
      <c r="K29" s="390">
        <f>SUMPRODUCT((③労働時間!$B$5:$B$353="3月中旬")*(③労働時間!$Q$5:$Q$353))</f>
        <v>0.43787629994526556</v>
      </c>
      <c r="L29" s="390">
        <f>SUMPRODUCT((③労働時間!$B$5:$B$353="3月下旬")*(③労働時間!$Q$5:$Q$353))</f>
        <v>0</v>
      </c>
      <c r="M29" s="390">
        <f>SUMPRODUCT((③労働時間!$B$5:$B$353="4月上旬")*(③労働時間!$Q$5:$Q$353))</f>
        <v>0</v>
      </c>
      <c r="N29" s="390">
        <f>SUMPRODUCT((③労働時間!$B$5:$B$353="4月中旬")*(③労働時間!$Q$5:$Q$353))</f>
        <v>0</v>
      </c>
      <c r="O29" s="390">
        <f>SUMPRODUCT((③労働時間!$B$5:$B$353="4月下旬")*(③労働時間!$Q$5:$Q$353))</f>
        <v>0.10262725779967161</v>
      </c>
      <c r="P29" s="389">
        <f>SUMPRODUCT((③労働時間!$B$5:$B$353="5月上旬")*(③労働時間!$Q$5:$Q$353))</f>
        <v>0.10262725779967161</v>
      </c>
      <c r="Q29" s="390">
        <f>SUMPRODUCT((③労働時間!$B$5:$B$353="5月中旬")*(③労働時間!$Q$5:$Q$353))</f>
        <v>0</v>
      </c>
      <c r="R29" s="390">
        <f>SUMPRODUCT((③労働時間!$B$5:$B$353="5月下旬")*(③労働時間!$Q$5:$Q$353))</f>
        <v>0</v>
      </c>
      <c r="S29" s="390">
        <f>SUMPRODUCT((③労働時間!$B$5:$B$353="6月上旬")*(③労働時間!$Q$5:$Q$353))</f>
        <v>1.3018759018759019</v>
      </c>
      <c r="T29" s="390">
        <f>SUMPRODUCT((③労働時間!$B$5:$B$353="6月中旬")*(③労働時間!$Q$5:$Q$353))</f>
        <v>0</v>
      </c>
      <c r="U29" s="390">
        <f>SUMPRODUCT((③労働時間!$B$5:$B$353="6月下旬")*(③労働時間!$Q$5:$Q$353))</f>
        <v>0</v>
      </c>
      <c r="V29" s="390">
        <f>SUMPRODUCT((③労働時間!$B$5:$B$353="7月上旬")*(③労働時間!$Q$5:$Q$353))</f>
        <v>0</v>
      </c>
      <c r="W29" s="390">
        <f>SUMPRODUCT((③労働時間!$B$5:$B$353="7月中旬")*(③労働時間!$Q$5:$Q$353))</f>
        <v>0</v>
      </c>
      <c r="X29" s="390">
        <f>SUMPRODUCT((③労働時間!$B$5:$B$353="7月下旬")*(③労働時間!$Q$5:$Q$353))</f>
        <v>0</v>
      </c>
      <c r="Y29" s="390">
        <f>SUMPRODUCT((③労働時間!$B$5:$B$353="8月上旬")*(③労働時間!$Q$5:$Q$353))</f>
        <v>0</v>
      </c>
      <c r="Z29" s="390">
        <f>SUMPRODUCT((③労働時間!$B$5:$B$353="8月中旬")*(③労働時間!$Q$5:$Q$353))</f>
        <v>0</v>
      </c>
      <c r="AA29" s="390">
        <f>SUMPRODUCT((③労働時間!$B$5:$B$353="8月下旬")*(③労働時間!$Q$5:$Q$353))</f>
        <v>0</v>
      </c>
      <c r="AB29" s="389">
        <f>SUMPRODUCT((③労働時間!$B$5:$B$353="9月上旬")*(③労働時間!$Q$5:$Q$353))</f>
        <v>0</v>
      </c>
      <c r="AC29" s="390">
        <f>SUMPRODUCT((③労働時間!$B$5:$B$353="9月中旬")*(③労働時間!$Q$5:$Q$353))</f>
        <v>0</v>
      </c>
      <c r="AD29" s="390">
        <f>SUMPRODUCT((③労働時間!$B$5:$B$353="9月下旬")*(③労働時間!$Q$5:$Q$353))</f>
        <v>0</v>
      </c>
      <c r="AE29" s="390">
        <f>SUMPRODUCT((③労働時間!$B$5:$B$353="10月上旬")*(③労働時間!$Q$5:$Q$353))</f>
        <v>0</v>
      </c>
      <c r="AF29" s="390">
        <f>SUMPRODUCT((③労働時間!$B$5:$B$353="10月中旬")*(③労働時間!$Q$5:$Q$353))</f>
        <v>0</v>
      </c>
      <c r="AG29" s="390">
        <f>SUMPRODUCT((③労働時間!$B$5:$B$353="10月下旬")*(③労働時間!$Q$5:$Q$353))</f>
        <v>1.6069220438689464</v>
      </c>
      <c r="AH29" s="390">
        <f>SUMPRODUCT((③労働時間!$B$5:$B$353="11月上旬")*(③労働時間!$Q$5:$Q$353))</f>
        <v>0</v>
      </c>
      <c r="AI29" s="390">
        <f>SUMPRODUCT((③労働時間!$B$5:$B$353="11月中旬")*(③労働時間!$Q$5:$Q$353))</f>
        <v>0</v>
      </c>
      <c r="AJ29" s="390">
        <f>SUMPRODUCT((③労働時間!$B$5:$B$353="11月下旬")*(③労働時間!$Q$5:$Q$353))</f>
        <v>0.59865900383141768</v>
      </c>
      <c r="AK29" s="390">
        <f>SUMPRODUCT((③労働時間!$B$5:$B$353="12月上旬")*(③労働時間!$Q$5:$Q$353))</f>
        <v>0</v>
      </c>
      <c r="AL29" s="390">
        <f>SUMPRODUCT((③労働時間!$B$5:$B$353="12月中旬")*(③労働時間!$Q$5:$Q$353))</f>
        <v>0</v>
      </c>
      <c r="AM29" s="390">
        <f>SUMPRODUCT((③労働時間!$B$5:$B$353="12月下旬")*(③労働時間!$Q$5:$Q$353))</f>
        <v>0</v>
      </c>
      <c r="AN29" s="391">
        <f>SUM(D29:AM29)</f>
        <v>6.6679203686603747</v>
      </c>
    </row>
    <row r="30" spans="2:40" s="445" customFormat="1" ht="12" customHeight="1">
      <c r="B30" s="712"/>
      <c r="C30" s="446" t="s">
        <v>139</v>
      </c>
      <c r="D30" s="392">
        <f>SUMPRODUCT((③労働時間!$B$5:$B$353="1月上旬")*(③労働時間!$R$5:$R$353))</f>
        <v>0</v>
      </c>
      <c r="E30" s="393">
        <f>SUMPRODUCT((③労働時間!$B$5:$B$353="1月中旬")*(③労働時間!$R$5:$R$353))</f>
        <v>0</v>
      </c>
      <c r="F30" s="393">
        <f>SUMPRODUCT((③労働時間!$B$5:$B$353="1月下旬")*(③労働時間!$R$5:$R$353))</f>
        <v>0</v>
      </c>
      <c r="G30" s="393">
        <f>SUMPRODUCT((③労働時間!$B$5:$B$353="2月上旬")*(③労働時間!$R$5:$R$353))</f>
        <v>0</v>
      </c>
      <c r="H30" s="393">
        <f>SUMPRODUCT((③労働時間!$B$5:$B$353="2月中旬")*(③労働時間!$R$5:$R$353))</f>
        <v>0</v>
      </c>
      <c r="I30" s="393">
        <f>SUMPRODUCT((③労働時間!$B$5:$B$353="2月下旬")*(③労働時間!$R$5:$R$353))</f>
        <v>0</v>
      </c>
      <c r="J30" s="393">
        <f>SUMPRODUCT((③労働時間!$B$5:$B$353="3月上旬")*(③労働時間!$R$5:$R$353))</f>
        <v>0</v>
      </c>
      <c r="K30" s="393">
        <f>SUMPRODUCT((③労働時間!$B$5:$B$353="3月中旬")*(③労働時間!$R$5:$R$353))</f>
        <v>0</v>
      </c>
      <c r="L30" s="393">
        <f>SUMPRODUCT((③労働時間!$B$5:$B$353="3月下旬")*(③労働時間!$R$5:$R$353))</f>
        <v>0</v>
      </c>
      <c r="M30" s="393">
        <f>SUMPRODUCT((③労働時間!$B$5:$B$353="4月上旬")*(③労働時間!$R$5:$R$353))</f>
        <v>0</v>
      </c>
      <c r="N30" s="393">
        <f>SUMPRODUCT((③労働時間!$B$5:$B$353="4月中旬")*(③労働時間!$R$5:$R$353))</f>
        <v>0</v>
      </c>
      <c r="O30" s="393">
        <f>SUMPRODUCT((③労働時間!$B$5:$B$353="4月下旬")*(③労働時間!$R$5:$R$353))</f>
        <v>0.10262725779967161</v>
      </c>
      <c r="P30" s="392">
        <f>SUMPRODUCT((③労働時間!$B$5:$B$353="5月上旬")*(③労働時間!$R$5:$R$353))</f>
        <v>0.10262725779967161</v>
      </c>
      <c r="Q30" s="393">
        <f>SUMPRODUCT((③労働時間!$B$5:$B$353="5月中旬")*(③労働時間!$R$5:$R$353))</f>
        <v>0</v>
      </c>
      <c r="R30" s="393">
        <f>SUMPRODUCT((③労働時間!$B$5:$B$353="5月下旬")*(③労働時間!$R$5:$R$353))</f>
        <v>0</v>
      </c>
      <c r="S30" s="393">
        <f>SUMPRODUCT((③労働時間!$B$5:$B$353="6月上旬")*(③労働時間!$R$5:$R$353))</f>
        <v>0.90187590187590194</v>
      </c>
      <c r="T30" s="393">
        <f>SUMPRODUCT((③労働時間!$B$5:$B$353="6月中旬")*(③労働時間!$R$5:$R$353))</f>
        <v>0</v>
      </c>
      <c r="U30" s="393">
        <f>SUMPRODUCT((③労働時間!$B$5:$B$353="6月下旬")*(③労働時間!$R$5:$R$353))</f>
        <v>0</v>
      </c>
      <c r="V30" s="393">
        <f>SUMPRODUCT((③労働時間!$B$5:$B$353="7月上旬")*(③労働時間!$R$5:$R$353))</f>
        <v>0</v>
      </c>
      <c r="W30" s="393">
        <f>SUMPRODUCT((③労働時間!$B$5:$B$353="7月中旬")*(③労働時間!$R$5:$R$353))</f>
        <v>0</v>
      </c>
      <c r="X30" s="393">
        <f>SUMPRODUCT((③労働時間!$B$5:$B$353="7月下旬")*(③労働時間!$R$5:$R$353))</f>
        <v>0</v>
      </c>
      <c r="Y30" s="393">
        <f>SUMPRODUCT((③労働時間!$B$5:$B$353="8月上旬")*(③労働時間!$R$5:$R$353))</f>
        <v>0</v>
      </c>
      <c r="Z30" s="393">
        <f>SUMPRODUCT((③労働時間!$B$5:$B$353="8月中旬")*(③労働時間!$R$5:$R$353))</f>
        <v>0</v>
      </c>
      <c r="AA30" s="393">
        <f>SUMPRODUCT((③労働時間!$B$5:$B$353="8月下旬")*(③労働時間!$R$5:$R$353))</f>
        <v>0</v>
      </c>
      <c r="AB30" s="392">
        <f>SUMPRODUCT((③労働時間!$B$5:$B$353="9月上旬")*(③労働時間!$R$5:$R$353))</f>
        <v>0</v>
      </c>
      <c r="AC30" s="393">
        <f>SUMPRODUCT((③労働時間!$B$5:$B$353="9月中旬")*(③労働時間!$R$5:$R$353))</f>
        <v>0</v>
      </c>
      <c r="AD30" s="393">
        <f>SUMPRODUCT((③労働時間!$B$5:$B$353="9月下旬")*(③労働時間!$R$5:$R$353))</f>
        <v>0</v>
      </c>
      <c r="AE30" s="393">
        <f>SUMPRODUCT((③労働時間!$B$5:$B$353="10月上旬")*(③労働時間!$R$5:$R$353))</f>
        <v>0</v>
      </c>
      <c r="AF30" s="393">
        <f>SUMPRODUCT((③労働時間!$B$5:$B$353="10月中旬")*(③労働時間!$R$5:$R$353))</f>
        <v>0</v>
      </c>
      <c r="AG30" s="393">
        <f>SUMPRODUCT((③労働時間!$B$5:$B$353="10月下旬")*(③労働時間!$R$5:$R$353))</f>
        <v>0</v>
      </c>
      <c r="AH30" s="393">
        <f>SUMPRODUCT((③労働時間!$B$5:$B$353="11月上旬")*(③労働時間!$R$5:$R$353))</f>
        <v>0</v>
      </c>
      <c r="AI30" s="393">
        <f>SUMPRODUCT((③労働時間!$B$5:$B$353="11月中旬")*(③労働時間!$R$5:$R$353))</f>
        <v>0</v>
      </c>
      <c r="AJ30" s="393">
        <f>SUMPRODUCT((③労働時間!$B$5:$B$353="11月下旬")*(③労働時間!$R$5:$R$353))</f>
        <v>0.59865900383141768</v>
      </c>
      <c r="AK30" s="393">
        <f>SUMPRODUCT((③労働時間!$B$5:$B$353="12月上旬")*(③労働時間!$R$5:$R$353))</f>
        <v>0</v>
      </c>
      <c r="AL30" s="393">
        <f>SUMPRODUCT((③労働時間!$B$5:$B$353="12月中旬")*(③労働時間!$R$5:$R$353))</f>
        <v>0</v>
      </c>
      <c r="AM30" s="393">
        <f>SUMPRODUCT((③労働時間!$B$5:$B$353="12月下旬")*(③労働時間!$R$5:$R$353))</f>
        <v>0</v>
      </c>
      <c r="AN30" s="394">
        <f>SUM(D30:AM30)</f>
        <v>1.7057894213066629</v>
      </c>
    </row>
    <row r="31" spans="2:40" ht="12" customHeight="1">
      <c r="B31" s="712"/>
      <c r="C31" s="447" t="s">
        <v>140</v>
      </c>
      <c r="D31" s="388">
        <f>SUM(D9:D28)</f>
        <v>0</v>
      </c>
      <c r="E31" s="387">
        <f t="shared" ref="E31:U31" si="1">SUM(E9:E28)</f>
        <v>0</v>
      </c>
      <c r="F31" s="387">
        <f t="shared" si="1"/>
        <v>0.64620963327859893</v>
      </c>
      <c r="G31" s="387">
        <f t="shared" si="1"/>
        <v>0.20833333333333331</v>
      </c>
      <c r="H31" s="387">
        <f t="shared" si="1"/>
        <v>0.57870370370370372</v>
      </c>
      <c r="I31" s="387">
        <f t="shared" si="1"/>
        <v>0.20833333333333331</v>
      </c>
      <c r="J31" s="387">
        <f t="shared" si="1"/>
        <v>0.87575259989053111</v>
      </c>
      <c r="K31" s="387">
        <f t="shared" si="1"/>
        <v>0.43787629994526556</v>
      </c>
      <c r="L31" s="387">
        <f t="shared" si="1"/>
        <v>0</v>
      </c>
      <c r="M31" s="387">
        <f t="shared" si="1"/>
        <v>0</v>
      </c>
      <c r="N31" s="387">
        <f t="shared" si="1"/>
        <v>0</v>
      </c>
      <c r="O31" s="387">
        <f t="shared" si="1"/>
        <v>0.20525451559934321</v>
      </c>
      <c r="P31" s="388">
        <f t="shared" si="1"/>
        <v>0.20525451559934321</v>
      </c>
      <c r="Q31" s="387">
        <f t="shared" si="1"/>
        <v>0</v>
      </c>
      <c r="R31" s="387">
        <f t="shared" si="1"/>
        <v>0</v>
      </c>
      <c r="S31" s="387">
        <f t="shared" si="1"/>
        <v>2.2037518037518038</v>
      </c>
      <c r="T31" s="387">
        <f t="shared" si="1"/>
        <v>0</v>
      </c>
      <c r="U31" s="387">
        <f t="shared" si="1"/>
        <v>0</v>
      </c>
      <c r="V31" s="387">
        <f t="shared" ref="V31:AM31" si="2">SUM(V9:V28)</f>
        <v>0</v>
      </c>
      <c r="W31" s="387">
        <f t="shared" si="2"/>
        <v>0</v>
      </c>
      <c r="X31" s="387">
        <f t="shared" si="2"/>
        <v>0</v>
      </c>
      <c r="Y31" s="387">
        <f t="shared" si="2"/>
        <v>0</v>
      </c>
      <c r="Z31" s="387">
        <f t="shared" si="2"/>
        <v>0</v>
      </c>
      <c r="AA31" s="387">
        <f t="shared" si="2"/>
        <v>0</v>
      </c>
      <c r="AB31" s="388">
        <f t="shared" si="2"/>
        <v>0</v>
      </c>
      <c r="AC31" s="387">
        <f t="shared" si="2"/>
        <v>0</v>
      </c>
      <c r="AD31" s="387">
        <f t="shared" si="2"/>
        <v>0</v>
      </c>
      <c r="AE31" s="387">
        <f t="shared" si="2"/>
        <v>0</v>
      </c>
      <c r="AF31" s="387">
        <f t="shared" si="2"/>
        <v>0</v>
      </c>
      <c r="AG31" s="387">
        <f t="shared" si="2"/>
        <v>1.6069220438689467</v>
      </c>
      <c r="AH31" s="387">
        <f t="shared" si="2"/>
        <v>0</v>
      </c>
      <c r="AI31" s="387">
        <f t="shared" si="2"/>
        <v>0</v>
      </c>
      <c r="AJ31" s="387">
        <f t="shared" si="2"/>
        <v>1.1973180076628354</v>
      </c>
      <c r="AK31" s="387">
        <f t="shared" si="2"/>
        <v>0</v>
      </c>
      <c r="AL31" s="387">
        <f t="shared" si="2"/>
        <v>0</v>
      </c>
      <c r="AM31" s="387">
        <f t="shared" si="2"/>
        <v>0</v>
      </c>
      <c r="AN31" s="395">
        <f>SUM(D31:AM31)</f>
        <v>8.3737097899670374</v>
      </c>
    </row>
    <row r="32" spans="2:40" ht="12" customHeight="1" thickBo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pans="2:40" s="47" customFormat="1" ht="20.100000000000001" customHeight="1" thickBot="1">
      <c r="C33" s="448">
        <f>①技術体系!E2*100</f>
        <v>1050</v>
      </c>
      <c r="D33" s="449" t="s">
        <v>383</v>
      </c>
      <c r="E33" s="47" t="s">
        <v>380</v>
      </c>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0"/>
    </row>
    <row r="34" spans="2:40" s="47" customFormat="1" ht="20.100000000000001" customHeight="1" thickBot="1">
      <c r="B34" s="710" t="s">
        <v>381</v>
      </c>
      <c r="C34" s="711"/>
      <c r="D34" s="606">
        <f>D31*$C$33/10</f>
        <v>0</v>
      </c>
      <c r="E34" s="607">
        <f t="shared" ref="E34:AM34" si="3">E31*$C$33/10</f>
        <v>0</v>
      </c>
      <c r="F34" s="606">
        <f t="shared" si="3"/>
        <v>67.852011494252878</v>
      </c>
      <c r="G34" s="608">
        <f t="shared" si="3"/>
        <v>21.874999999999996</v>
      </c>
      <c r="H34" s="607">
        <f t="shared" si="3"/>
        <v>60.763888888888893</v>
      </c>
      <c r="I34" s="609">
        <f t="shared" si="3"/>
        <v>21.874999999999996</v>
      </c>
      <c r="J34" s="606">
        <f t="shared" si="3"/>
        <v>91.95402298850577</v>
      </c>
      <c r="K34" s="607">
        <f t="shared" si="3"/>
        <v>45.977011494252885</v>
      </c>
      <c r="L34" s="606">
        <f t="shared" si="3"/>
        <v>0</v>
      </c>
      <c r="M34" s="608">
        <f t="shared" si="3"/>
        <v>0</v>
      </c>
      <c r="N34" s="607">
        <f t="shared" si="3"/>
        <v>0</v>
      </c>
      <c r="O34" s="609">
        <f t="shared" si="3"/>
        <v>21.551724137931039</v>
      </c>
      <c r="P34" s="606">
        <f t="shared" si="3"/>
        <v>21.551724137931039</v>
      </c>
      <c r="Q34" s="607">
        <f t="shared" si="3"/>
        <v>0</v>
      </c>
      <c r="R34" s="606">
        <f t="shared" si="3"/>
        <v>0</v>
      </c>
      <c r="S34" s="608">
        <f t="shared" si="3"/>
        <v>231.39393939393941</v>
      </c>
      <c r="T34" s="607">
        <f t="shared" si="3"/>
        <v>0</v>
      </c>
      <c r="U34" s="609">
        <f t="shared" si="3"/>
        <v>0</v>
      </c>
      <c r="V34" s="606">
        <f t="shared" si="3"/>
        <v>0</v>
      </c>
      <c r="W34" s="607">
        <f t="shared" si="3"/>
        <v>0</v>
      </c>
      <c r="X34" s="606">
        <f t="shared" si="3"/>
        <v>0</v>
      </c>
      <c r="Y34" s="608">
        <f t="shared" si="3"/>
        <v>0</v>
      </c>
      <c r="Z34" s="607">
        <f t="shared" si="3"/>
        <v>0</v>
      </c>
      <c r="AA34" s="609">
        <f t="shared" si="3"/>
        <v>0</v>
      </c>
      <c r="AB34" s="606">
        <f t="shared" si="3"/>
        <v>0</v>
      </c>
      <c r="AC34" s="607">
        <f t="shared" si="3"/>
        <v>0</v>
      </c>
      <c r="AD34" s="606">
        <f t="shared" si="3"/>
        <v>0</v>
      </c>
      <c r="AE34" s="608">
        <f t="shared" si="3"/>
        <v>0</v>
      </c>
      <c r="AF34" s="607">
        <f t="shared" si="3"/>
        <v>0</v>
      </c>
      <c r="AG34" s="609">
        <f t="shared" si="3"/>
        <v>168.7268146062394</v>
      </c>
      <c r="AH34" s="606">
        <f t="shared" si="3"/>
        <v>0</v>
      </c>
      <c r="AI34" s="607">
        <f t="shared" si="3"/>
        <v>0</v>
      </c>
      <c r="AJ34" s="606">
        <f t="shared" si="3"/>
        <v>125.71839080459772</v>
      </c>
      <c r="AK34" s="608">
        <f t="shared" si="3"/>
        <v>0</v>
      </c>
      <c r="AL34" s="607">
        <f t="shared" si="3"/>
        <v>0</v>
      </c>
      <c r="AM34" s="609">
        <f t="shared" si="3"/>
        <v>0</v>
      </c>
      <c r="AN34" s="610">
        <f t="shared" ref="AN34:AN36" si="4">SUM(D34:AM34)</f>
        <v>879.23952794653894</v>
      </c>
    </row>
    <row r="35" spans="2:40" s="47" customFormat="1" ht="20.100000000000001" customHeight="1" thickTop="1">
      <c r="B35" s="713" t="s">
        <v>404</v>
      </c>
      <c r="C35" s="451" t="s">
        <v>384</v>
      </c>
      <c r="D35" s="611">
        <v>150</v>
      </c>
      <c r="E35" s="612">
        <v>150</v>
      </c>
      <c r="F35" s="611">
        <v>150</v>
      </c>
      <c r="G35" s="613">
        <v>150</v>
      </c>
      <c r="H35" s="614">
        <v>150</v>
      </c>
      <c r="I35" s="615">
        <v>150</v>
      </c>
      <c r="J35" s="616">
        <v>150</v>
      </c>
      <c r="K35" s="614">
        <v>150</v>
      </c>
      <c r="L35" s="616">
        <v>150</v>
      </c>
      <c r="M35" s="613">
        <v>150</v>
      </c>
      <c r="N35" s="614">
        <v>150</v>
      </c>
      <c r="O35" s="615">
        <v>150</v>
      </c>
      <c r="P35" s="616">
        <v>150</v>
      </c>
      <c r="Q35" s="614">
        <v>150</v>
      </c>
      <c r="R35" s="616">
        <v>150</v>
      </c>
      <c r="S35" s="613">
        <v>150</v>
      </c>
      <c r="T35" s="614">
        <v>150</v>
      </c>
      <c r="U35" s="615">
        <v>150</v>
      </c>
      <c r="V35" s="611">
        <v>150</v>
      </c>
      <c r="W35" s="612">
        <v>150</v>
      </c>
      <c r="X35" s="611">
        <v>150</v>
      </c>
      <c r="Y35" s="617">
        <v>150</v>
      </c>
      <c r="Z35" s="612">
        <v>150</v>
      </c>
      <c r="AA35" s="618">
        <v>150</v>
      </c>
      <c r="AB35" s="611">
        <v>150</v>
      </c>
      <c r="AC35" s="612">
        <v>150</v>
      </c>
      <c r="AD35" s="611">
        <v>150</v>
      </c>
      <c r="AE35" s="617">
        <v>150</v>
      </c>
      <c r="AF35" s="612">
        <v>150</v>
      </c>
      <c r="AG35" s="618">
        <v>150</v>
      </c>
      <c r="AH35" s="611">
        <v>150</v>
      </c>
      <c r="AI35" s="612">
        <v>150</v>
      </c>
      <c r="AJ35" s="611">
        <v>150</v>
      </c>
      <c r="AK35" s="617">
        <v>150</v>
      </c>
      <c r="AL35" s="612">
        <v>150</v>
      </c>
      <c r="AM35" s="618">
        <v>150</v>
      </c>
      <c r="AN35" s="619">
        <f t="shared" si="4"/>
        <v>5400</v>
      </c>
    </row>
    <row r="36" spans="2:40" s="47" customFormat="1" ht="20.100000000000001" customHeight="1" thickBot="1">
      <c r="B36" s="714"/>
      <c r="C36" s="620" t="s">
        <v>580</v>
      </c>
      <c r="D36" s="613"/>
      <c r="E36" s="614"/>
      <c r="F36" s="615"/>
      <c r="G36" s="616"/>
      <c r="H36" s="614"/>
      <c r="I36" s="616"/>
      <c r="J36" s="613"/>
      <c r="K36" s="614"/>
      <c r="L36" s="615"/>
      <c r="M36" s="613"/>
      <c r="N36" s="614"/>
      <c r="O36" s="615"/>
      <c r="P36" s="616"/>
      <c r="Q36" s="614"/>
      <c r="R36" s="616"/>
      <c r="S36" s="613">
        <v>81.393939393939405</v>
      </c>
      <c r="T36" s="614"/>
      <c r="U36" s="615"/>
      <c r="V36" s="616"/>
      <c r="W36" s="614"/>
      <c r="X36" s="616"/>
      <c r="Y36" s="613"/>
      <c r="Z36" s="614"/>
      <c r="AA36" s="615"/>
      <c r="AB36" s="616"/>
      <c r="AC36" s="614"/>
      <c r="AD36" s="616"/>
      <c r="AE36" s="613"/>
      <c r="AF36" s="614"/>
      <c r="AG36" s="615">
        <v>18.726814606239401</v>
      </c>
      <c r="AH36" s="616"/>
      <c r="AI36" s="614"/>
      <c r="AJ36" s="616"/>
      <c r="AK36" s="613"/>
      <c r="AL36" s="614"/>
      <c r="AM36" s="615"/>
      <c r="AN36" s="621">
        <f t="shared" si="4"/>
        <v>100.12075400017881</v>
      </c>
    </row>
    <row r="37" spans="2:40" s="47" customFormat="1" ht="20.100000000000001" customHeight="1" thickBot="1">
      <c r="B37" s="715"/>
      <c r="C37" s="622" t="s">
        <v>382</v>
      </c>
      <c r="D37" s="623">
        <f>+D35+D36+-D34</f>
        <v>150</v>
      </c>
      <c r="E37" s="624">
        <f t="shared" ref="E37:AM37" si="5">+E35+E36+-E34</f>
        <v>150</v>
      </c>
      <c r="F37" s="625">
        <f t="shared" si="5"/>
        <v>82.147988505747122</v>
      </c>
      <c r="G37" s="623">
        <f t="shared" si="5"/>
        <v>128.125</v>
      </c>
      <c r="H37" s="624">
        <f t="shared" si="5"/>
        <v>89.236111111111114</v>
      </c>
      <c r="I37" s="626">
        <f t="shared" si="5"/>
        <v>128.125</v>
      </c>
      <c r="J37" s="627">
        <f t="shared" si="5"/>
        <v>58.04597701149423</v>
      </c>
      <c r="K37" s="624">
        <f t="shared" si="5"/>
        <v>104.02298850574712</v>
      </c>
      <c r="L37" s="625">
        <f t="shared" si="5"/>
        <v>150</v>
      </c>
      <c r="M37" s="623">
        <f t="shared" si="5"/>
        <v>150</v>
      </c>
      <c r="N37" s="624">
        <f t="shared" si="5"/>
        <v>150</v>
      </c>
      <c r="O37" s="626">
        <f t="shared" si="5"/>
        <v>128.44827586206895</v>
      </c>
      <c r="P37" s="627">
        <f t="shared" si="5"/>
        <v>128.44827586206895</v>
      </c>
      <c r="Q37" s="624">
        <f t="shared" si="5"/>
        <v>150</v>
      </c>
      <c r="R37" s="625">
        <f t="shared" si="5"/>
        <v>150</v>
      </c>
      <c r="S37" s="623">
        <f t="shared" si="5"/>
        <v>0</v>
      </c>
      <c r="T37" s="624">
        <f t="shared" si="5"/>
        <v>150</v>
      </c>
      <c r="U37" s="626">
        <f t="shared" si="5"/>
        <v>150</v>
      </c>
      <c r="V37" s="627">
        <f t="shared" si="5"/>
        <v>150</v>
      </c>
      <c r="W37" s="624">
        <f t="shared" si="5"/>
        <v>150</v>
      </c>
      <c r="X37" s="625">
        <f t="shared" si="5"/>
        <v>150</v>
      </c>
      <c r="Y37" s="623">
        <f t="shared" si="5"/>
        <v>150</v>
      </c>
      <c r="Z37" s="624">
        <f t="shared" si="5"/>
        <v>150</v>
      </c>
      <c r="AA37" s="626">
        <f t="shared" si="5"/>
        <v>150</v>
      </c>
      <c r="AB37" s="627">
        <f t="shared" si="5"/>
        <v>150</v>
      </c>
      <c r="AC37" s="624">
        <f t="shared" si="5"/>
        <v>150</v>
      </c>
      <c r="AD37" s="625">
        <f t="shared" si="5"/>
        <v>150</v>
      </c>
      <c r="AE37" s="623">
        <f t="shared" si="5"/>
        <v>150</v>
      </c>
      <c r="AF37" s="624">
        <f t="shared" si="5"/>
        <v>150</v>
      </c>
      <c r="AG37" s="626">
        <f t="shared" si="5"/>
        <v>0</v>
      </c>
      <c r="AH37" s="627">
        <f t="shared" si="5"/>
        <v>150</v>
      </c>
      <c r="AI37" s="624">
        <f t="shared" si="5"/>
        <v>150</v>
      </c>
      <c r="AJ37" s="625">
        <f t="shared" si="5"/>
        <v>24.281609195402282</v>
      </c>
      <c r="AK37" s="623">
        <f t="shared" si="5"/>
        <v>150</v>
      </c>
      <c r="AL37" s="624">
        <f t="shared" si="5"/>
        <v>150</v>
      </c>
      <c r="AM37" s="624">
        <f t="shared" si="5"/>
        <v>150</v>
      </c>
      <c r="AN37" s="628">
        <f t="shared" ref="AN37" si="6">SUM(D37:AM37)</f>
        <v>4620.8812260536388</v>
      </c>
    </row>
    <row r="38" spans="2:40" s="452" customFormat="1" ht="13.5" customHeight="1" thickBot="1">
      <c r="AN38" s="453"/>
    </row>
    <row r="39" spans="2:40" ht="28.5" customHeight="1">
      <c r="B39" s="46"/>
      <c r="C39" s="497" t="s">
        <v>407</v>
      </c>
      <c r="D39" s="704" t="s">
        <v>408</v>
      </c>
      <c r="E39" s="704"/>
      <c r="F39" s="705"/>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row>
    <row r="40" spans="2:40" ht="28.5" customHeight="1" thickBot="1">
      <c r="C40" s="498">
        <v>753</v>
      </c>
      <c r="D40" s="706">
        <f>C40*AN36</f>
        <v>75390.927762134641</v>
      </c>
      <c r="E40" s="706"/>
      <c r="F40" s="707"/>
    </row>
  </sheetData>
  <sheetProtection sheet="1" objects="1" scenarios="1" selectLockedCells="1"/>
  <mergeCells count="41">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 ref="B19:C19"/>
    <mergeCell ref="P2:R2"/>
    <mergeCell ref="C4:C8"/>
    <mergeCell ref="V2:X2"/>
    <mergeCell ref="B2:C3"/>
    <mergeCell ref="D2:F2"/>
    <mergeCell ref="G2:I2"/>
    <mergeCell ref="J2:L2"/>
    <mergeCell ref="S2:U2"/>
    <mergeCell ref="B4:B8"/>
    <mergeCell ref="M2:O2"/>
    <mergeCell ref="AN2:AN3"/>
    <mergeCell ref="Y2:AA2"/>
    <mergeCell ref="AB2:AD2"/>
    <mergeCell ref="AE2:AG2"/>
    <mergeCell ref="AH2:AJ2"/>
    <mergeCell ref="AK2:AM2"/>
    <mergeCell ref="D39:F39"/>
    <mergeCell ref="D40:F40"/>
    <mergeCell ref="B26:C26"/>
    <mergeCell ref="B28:C28"/>
    <mergeCell ref="B34:C34"/>
    <mergeCell ref="B27:C27"/>
    <mergeCell ref="B29:B31"/>
    <mergeCell ref="B35:B37"/>
  </mergeCells>
  <phoneticPr fontId="14"/>
  <printOptions horizontalCentered="1" verticalCentered="1"/>
  <pageMargins left="0.78740157480314965" right="0.74803149606299213" top="1.1811023622047245" bottom="0.39370078740157483" header="0.78740157480314965" footer="0.51181102362204722"/>
  <pageSetup paperSize="9" scale="50" firstPageNumber="0" orientation="landscape" cellComments="asDisplayed" horizontalDpi="4294967293" verticalDpi="300" r:id="rId1"/>
  <headerFooter alignWithMargins="0">
    <oddHeader>&amp;L小麦「せときらら」11月下旬播種（平坦地）</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topLeftCell="A12" zoomScale="110" zoomScaleNormal="110" zoomScalePageLayoutView="153" workbookViewId="0">
      <selection activeCell="C25" sqref="C25"/>
    </sheetView>
  </sheetViews>
  <sheetFormatPr defaultColWidth="10" defaultRowHeight="13.5"/>
  <cols>
    <col min="1" max="1" width="3.125" style="278" customWidth="1"/>
    <col min="2" max="2" width="17.875" style="278" customWidth="1"/>
    <col min="3" max="3" width="10" style="278" customWidth="1"/>
    <col min="4" max="4" width="2.375" style="278" customWidth="1"/>
    <col min="5" max="5" width="6.125" style="278" customWidth="1"/>
    <col min="6" max="6" width="7.125" style="278" customWidth="1"/>
    <col min="7" max="7" width="1.875" style="278" customWidth="1"/>
    <col min="8" max="9" width="7.125" style="278" customWidth="1"/>
    <col min="10" max="10" width="2.125" style="278" customWidth="1"/>
    <col min="11" max="11" width="12.125" style="278" customWidth="1"/>
    <col min="12" max="12" width="5.875" style="278" customWidth="1"/>
    <col min="13" max="13" width="5.5" style="278" customWidth="1"/>
    <col min="14" max="15" width="8.375" style="278" customWidth="1"/>
    <col min="16" max="256" width="10" style="278"/>
    <col min="257" max="257" width="3.125" style="278" customWidth="1"/>
    <col min="258" max="258" width="17.875" style="278" customWidth="1"/>
    <col min="259" max="259" width="10" style="278" customWidth="1"/>
    <col min="260" max="260" width="2.375" style="278" customWidth="1"/>
    <col min="261" max="261" width="6.125" style="278" customWidth="1"/>
    <col min="262" max="262" width="7.125" style="278" customWidth="1"/>
    <col min="263" max="263" width="1.875" style="278" customWidth="1"/>
    <col min="264" max="265" width="7.125" style="278" customWidth="1"/>
    <col min="266" max="266" width="2.125" style="278" customWidth="1"/>
    <col min="267" max="267" width="12.125" style="278" customWidth="1"/>
    <col min="268" max="268" width="5.875" style="278" customWidth="1"/>
    <col min="269" max="269" width="5.5" style="278" customWidth="1"/>
    <col min="270" max="271" width="8.375" style="278" customWidth="1"/>
    <col min="272" max="512" width="10" style="278"/>
    <col min="513" max="513" width="3.125" style="278" customWidth="1"/>
    <col min="514" max="514" width="17.875" style="278" customWidth="1"/>
    <col min="515" max="515" width="10" style="278" customWidth="1"/>
    <col min="516" max="516" width="2.375" style="278" customWidth="1"/>
    <col min="517" max="517" width="6.125" style="278" customWidth="1"/>
    <col min="518" max="518" width="7.125" style="278" customWidth="1"/>
    <col min="519" max="519" width="1.875" style="278" customWidth="1"/>
    <col min="520" max="521" width="7.125" style="278" customWidth="1"/>
    <col min="522" max="522" width="2.125" style="278" customWidth="1"/>
    <col min="523" max="523" width="12.125" style="278" customWidth="1"/>
    <col min="524" max="524" width="5.875" style="278" customWidth="1"/>
    <col min="525" max="525" width="5.5" style="278" customWidth="1"/>
    <col min="526" max="527" width="8.375" style="278" customWidth="1"/>
    <col min="528" max="768" width="10" style="278"/>
    <col min="769" max="769" width="3.125" style="278" customWidth="1"/>
    <col min="770" max="770" width="17.875" style="278" customWidth="1"/>
    <col min="771" max="771" width="10" style="278" customWidth="1"/>
    <col min="772" max="772" width="2.375" style="278" customWidth="1"/>
    <col min="773" max="773" width="6.125" style="278" customWidth="1"/>
    <col min="774" max="774" width="7.125" style="278" customWidth="1"/>
    <col min="775" max="775" width="1.875" style="278" customWidth="1"/>
    <col min="776" max="777" width="7.125" style="278" customWidth="1"/>
    <col min="778" max="778" width="2.125" style="278" customWidth="1"/>
    <col min="779" max="779" width="12.125" style="278" customWidth="1"/>
    <col min="780" max="780" width="5.875" style="278" customWidth="1"/>
    <col min="781" max="781" width="5.5" style="278" customWidth="1"/>
    <col min="782" max="783" width="8.375" style="278" customWidth="1"/>
    <col min="784" max="1024" width="10" style="278"/>
    <col min="1025" max="1025" width="3.125" style="278" customWidth="1"/>
    <col min="1026" max="1026" width="17.875" style="278" customWidth="1"/>
    <col min="1027" max="1027" width="10" style="278" customWidth="1"/>
    <col min="1028" max="1028" width="2.375" style="278" customWidth="1"/>
    <col min="1029" max="1029" width="6.125" style="278" customWidth="1"/>
    <col min="1030" max="1030" width="7.125" style="278" customWidth="1"/>
    <col min="1031" max="1031" width="1.875" style="278" customWidth="1"/>
    <col min="1032" max="1033" width="7.125" style="278" customWidth="1"/>
    <col min="1034" max="1034" width="2.125" style="278" customWidth="1"/>
    <col min="1035" max="1035" width="12.125" style="278" customWidth="1"/>
    <col min="1036" max="1036" width="5.875" style="278" customWidth="1"/>
    <col min="1037" max="1037" width="5.5" style="278" customWidth="1"/>
    <col min="1038" max="1039" width="8.375" style="278" customWidth="1"/>
    <col min="1040" max="1280" width="10" style="278"/>
    <col min="1281" max="1281" width="3.125" style="278" customWidth="1"/>
    <col min="1282" max="1282" width="17.875" style="278" customWidth="1"/>
    <col min="1283" max="1283" width="10" style="278" customWidth="1"/>
    <col min="1284" max="1284" width="2.375" style="278" customWidth="1"/>
    <col min="1285" max="1285" width="6.125" style="278" customWidth="1"/>
    <col min="1286" max="1286" width="7.125" style="278" customWidth="1"/>
    <col min="1287" max="1287" width="1.875" style="278" customWidth="1"/>
    <col min="1288" max="1289" width="7.125" style="278" customWidth="1"/>
    <col min="1290" max="1290" width="2.125" style="278" customWidth="1"/>
    <col min="1291" max="1291" width="12.125" style="278" customWidth="1"/>
    <col min="1292" max="1292" width="5.875" style="278" customWidth="1"/>
    <col min="1293" max="1293" width="5.5" style="278" customWidth="1"/>
    <col min="1294" max="1295" width="8.375" style="278" customWidth="1"/>
    <col min="1296" max="1536" width="10" style="278"/>
    <col min="1537" max="1537" width="3.125" style="278" customWidth="1"/>
    <col min="1538" max="1538" width="17.875" style="278" customWidth="1"/>
    <col min="1539" max="1539" width="10" style="278" customWidth="1"/>
    <col min="1540" max="1540" width="2.375" style="278" customWidth="1"/>
    <col min="1541" max="1541" width="6.125" style="278" customWidth="1"/>
    <col min="1542" max="1542" width="7.125" style="278" customWidth="1"/>
    <col min="1543" max="1543" width="1.875" style="278" customWidth="1"/>
    <col min="1544" max="1545" width="7.125" style="278" customWidth="1"/>
    <col min="1546" max="1546" width="2.125" style="278" customWidth="1"/>
    <col min="1547" max="1547" width="12.125" style="278" customWidth="1"/>
    <col min="1548" max="1548" width="5.875" style="278" customWidth="1"/>
    <col min="1549" max="1549" width="5.5" style="278" customWidth="1"/>
    <col min="1550" max="1551" width="8.375" style="278" customWidth="1"/>
    <col min="1552" max="1792" width="10" style="278"/>
    <col min="1793" max="1793" width="3.125" style="278" customWidth="1"/>
    <col min="1794" max="1794" width="17.875" style="278" customWidth="1"/>
    <col min="1795" max="1795" width="10" style="278" customWidth="1"/>
    <col min="1796" max="1796" width="2.375" style="278" customWidth="1"/>
    <col min="1797" max="1797" width="6.125" style="278" customWidth="1"/>
    <col min="1798" max="1798" width="7.125" style="278" customWidth="1"/>
    <col min="1799" max="1799" width="1.875" style="278" customWidth="1"/>
    <col min="1800" max="1801" width="7.125" style="278" customWidth="1"/>
    <col min="1802" max="1802" width="2.125" style="278" customWidth="1"/>
    <col min="1803" max="1803" width="12.125" style="278" customWidth="1"/>
    <col min="1804" max="1804" width="5.875" style="278" customWidth="1"/>
    <col min="1805" max="1805" width="5.5" style="278" customWidth="1"/>
    <col min="1806" max="1807" width="8.375" style="278" customWidth="1"/>
    <col min="1808" max="2048" width="10" style="278"/>
    <col min="2049" max="2049" width="3.125" style="278" customWidth="1"/>
    <col min="2050" max="2050" width="17.875" style="278" customWidth="1"/>
    <col min="2051" max="2051" width="10" style="278" customWidth="1"/>
    <col min="2052" max="2052" width="2.375" style="278" customWidth="1"/>
    <col min="2053" max="2053" width="6.125" style="278" customWidth="1"/>
    <col min="2054" max="2054" width="7.125" style="278" customWidth="1"/>
    <col min="2055" max="2055" width="1.875" style="278" customWidth="1"/>
    <col min="2056" max="2057" width="7.125" style="278" customWidth="1"/>
    <col min="2058" max="2058" width="2.125" style="278" customWidth="1"/>
    <col min="2059" max="2059" width="12.125" style="278" customWidth="1"/>
    <col min="2060" max="2060" width="5.875" style="278" customWidth="1"/>
    <col min="2061" max="2061" width="5.5" style="278" customWidth="1"/>
    <col min="2062" max="2063" width="8.375" style="278" customWidth="1"/>
    <col min="2064" max="2304" width="10" style="278"/>
    <col min="2305" max="2305" width="3.125" style="278" customWidth="1"/>
    <col min="2306" max="2306" width="17.875" style="278" customWidth="1"/>
    <col min="2307" max="2307" width="10" style="278" customWidth="1"/>
    <col min="2308" max="2308" width="2.375" style="278" customWidth="1"/>
    <col min="2309" max="2309" width="6.125" style="278" customWidth="1"/>
    <col min="2310" max="2310" width="7.125" style="278" customWidth="1"/>
    <col min="2311" max="2311" width="1.875" style="278" customWidth="1"/>
    <col min="2312" max="2313" width="7.125" style="278" customWidth="1"/>
    <col min="2314" max="2314" width="2.125" style="278" customWidth="1"/>
    <col min="2315" max="2315" width="12.125" style="278" customWidth="1"/>
    <col min="2316" max="2316" width="5.875" style="278" customWidth="1"/>
    <col min="2317" max="2317" width="5.5" style="278" customWidth="1"/>
    <col min="2318" max="2319" width="8.375" style="278" customWidth="1"/>
    <col min="2320" max="2560" width="10" style="278"/>
    <col min="2561" max="2561" width="3.125" style="278" customWidth="1"/>
    <col min="2562" max="2562" width="17.875" style="278" customWidth="1"/>
    <col min="2563" max="2563" width="10" style="278" customWidth="1"/>
    <col min="2564" max="2564" width="2.375" style="278" customWidth="1"/>
    <col min="2565" max="2565" width="6.125" style="278" customWidth="1"/>
    <col min="2566" max="2566" width="7.125" style="278" customWidth="1"/>
    <col min="2567" max="2567" width="1.875" style="278" customWidth="1"/>
    <col min="2568" max="2569" width="7.125" style="278" customWidth="1"/>
    <col min="2570" max="2570" width="2.125" style="278" customWidth="1"/>
    <col min="2571" max="2571" width="12.125" style="278" customWidth="1"/>
    <col min="2572" max="2572" width="5.875" style="278" customWidth="1"/>
    <col min="2573" max="2573" width="5.5" style="278" customWidth="1"/>
    <col min="2574" max="2575" width="8.375" style="278" customWidth="1"/>
    <col min="2576" max="2816" width="10" style="278"/>
    <col min="2817" max="2817" width="3.125" style="278" customWidth="1"/>
    <col min="2818" max="2818" width="17.875" style="278" customWidth="1"/>
    <col min="2819" max="2819" width="10" style="278" customWidth="1"/>
    <col min="2820" max="2820" width="2.375" style="278" customWidth="1"/>
    <col min="2821" max="2821" width="6.125" style="278" customWidth="1"/>
    <col min="2822" max="2822" width="7.125" style="278" customWidth="1"/>
    <col min="2823" max="2823" width="1.875" style="278" customWidth="1"/>
    <col min="2824" max="2825" width="7.125" style="278" customWidth="1"/>
    <col min="2826" max="2826" width="2.125" style="278" customWidth="1"/>
    <col min="2827" max="2827" width="12.125" style="278" customWidth="1"/>
    <col min="2828" max="2828" width="5.875" style="278" customWidth="1"/>
    <col min="2829" max="2829" width="5.5" style="278" customWidth="1"/>
    <col min="2830" max="2831" width="8.375" style="278" customWidth="1"/>
    <col min="2832" max="3072" width="10" style="278"/>
    <col min="3073" max="3073" width="3.125" style="278" customWidth="1"/>
    <col min="3074" max="3074" width="17.875" style="278" customWidth="1"/>
    <col min="3075" max="3075" width="10" style="278" customWidth="1"/>
    <col min="3076" max="3076" width="2.375" style="278" customWidth="1"/>
    <col min="3077" max="3077" width="6.125" style="278" customWidth="1"/>
    <col min="3078" max="3078" width="7.125" style="278" customWidth="1"/>
    <col min="3079" max="3079" width="1.875" style="278" customWidth="1"/>
    <col min="3080" max="3081" width="7.125" style="278" customWidth="1"/>
    <col min="3082" max="3082" width="2.125" style="278" customWidth="1"/>
    <col min="3083" max="3083" width="12.125" style="278" customWidth="1"/>
    <col min="3084" max="3084" width="5.875" style="278" customWidth="1"/>
    <col min="3085" max="3085" width="5.5" style="278" customWidth="1"/>
    <col min="3086" max="3087" width="8.375" style="278" customWidth="1"/>
    <col min="3088" max="3328" width="10" style="278"/>
    <col min="3329" max="3329" width="3.125" style="278" customWidth="1"/>
    <col min="3330" max="3330" width="17.875" style="278" customWidth="1"/>
    <col min="3331" max="3331" width="10" style="278" customWidth="1"/>
    <col min="3332" max="3332" width="2.375" style="278" customWidth="1"/>
    <col min="3333" max="3333" width="6.125" style="278" customWidth="1"/>
    <col min="3334" max="3334" width="7.125" style="278" customWidth="1"/>
    <col min="3335" max="3335" width="1.875" style="278" customWidth="1"/>
    <col min="3336" max="3337" width="7.125" style="278" customWidth="1"/>
    <col min="3338" max="3338" width="2.125" style="278" customWidth="1"/>
    <col min="3339" max="3339" width="12.125" style="278" customWidth="1"/>
    <col min="3340" max="3340" width="5.875" style="278" customWidth="1"/>
    <col min="3341" max="3341" width="5.5" style="278" customWidth="1"/>
    <col min="3342" max="3343" width="8.375" style="278" customWidth="1"/>
    <col min="3344" max="3584" width="10" style="278"/>
    <col min="3585" max="3585" width="3.125" style="278" customWidth="1"/>
    <col min="3586" max="3586" width="17.875" style="278" customWidth="1"/>
    <col min="3587" max="3587" width="10" style="278" customWidth="1"/>
    <col min="3588" max="3588" width="2.375" style="278" customWidth="1"/>
    <col min="3589" max="3589" width="6.125" style="278" customWidth="1"/>
    <col min="3590" max="3590" width="7.125" style="278" customWidth="1"/>
    <col min="3591" max="3591" width="1.875" style="278" customWidth="1"/>
    <col min="3592" max="3593" width="7.125" style="278" customWidth="1"/>
    <col min="3594" max="3594" width="2.125" style="278" customWidth="1"/>
    <col min="3595" max="3595" width="12.125" style="278" customWidth="1"/>
    <col min="3596" max="3596" width="5.875" style="278" customWidth="1"/>
    <col min="3597" max="3597" width="5.5" style="278" customWidth="1"/>
    <col min="3598" max="3599" width="8.375" style="278" customWidth="1"/>
    <col min="3600" max="3840" width="10" style="278"/>
    <col min="3841" max="3841" width="3.125" style="278" customWidth="1"/>
    <col min="3842" max="3842" width="17.875" style="278" customWidth="1"/>
    <col min="3843" max="3843" width="10" style="278" customWidth="1"/>
    <col min="3844" max="3844" width="2.375" style="278" customWidth="1"/>
    <col min="3845" max="3845" width="6.125" style="278" customWidth="1"/>
    <col min="3846" max="3846" width="7.125" style="278" customWidth="1"/>
    <col min="3847" max="3847" width="1.875" style="278" customWidth="1"/>
    <col min="3848" max="3849" width="7.125" style="278" customWidth="1"/>
    <col min="3850" max="3850" width="2.125" style="278" customWidth="1"/>
    <col min="3851" max="3851" width="12.125" style="278" customWidth="1"/>
    <col min="3852" max="3852" width="5.875" style="278" customWidth="1"/>
    <col min="3853" max="3853" width="5.5" style="278" customWidth="1"/>
    <col min="3854" max="3855" width="8.375" style="278" customWidth="1"/>
    <col min="3856" max="4096" width="10" style="278"/>
    <col min="4097" max="4097" width="3.125" style="278" customWidth="1"/>
    <col min="4098" max="4098" width="17.875" style="278" customWidth="1"/>
    <col min="4099" max="4099" width="10" style="278" customWidth="1"/>
    <col min="4100" max="4100" width="2.375" style="278" customWidth="1"/>
    <col min="4101" max="4101" width="6.125" style="278" customWidth="1"/>
    <col min="4102" max="4102" width="7.125" style="278" customWidth="1"/>
    <col min="4103" max="4103" width="1.875" style="278" customWidth="1"/>
    <col min="4104" max="4105" width="7.125" style="278" customWidth="1"/>
    <col min="4106" max="4106" width="2.125" style="278" customWidth="1"/>
    <col min="4107" max="4107" width="12.125" style="278" customWidth="1"/>
    <col min="4108" max="4108" width="5.875" style="278" customWidth="1"/>
    <col min="4109" max="4109" width="5.5" style="278" customWidth="1"/>
    <col min="4110" max="4111" width="8.375" style="278" customWidth="1"/>
    <col min="4112" max="4352" width="10" style="278"/>
    <col min="4353" max="4353" width="3.125" style="278" customWidth="1"/>
    <col min="4354" max="4354" width="17.875" style="278" customWidth="1"/>
    <col min="4355" max="4355" width="10" style="278" customWidth="1"/>
    <col min="4356" max="4356" width="2.375" style="278" customWidth="1"/>
    <col min="4357" max="4357" width="6.125" style="278" customWidth="1"/>
    <col min="4358" max="4358" width="7.125" style="278" customWidth="1"/>
    <col min="4359" max="4359" width="1.875" style="278" customWidth="1"/>
    <col min="4360" max="4361" width="7.125" style="278" customWidth="1"/>
    <col min="4362" max="4362" width="2.125" style="278" customWidth="1"/>
    <col min="4363" max="4363" width="12.125" style="278" customWidth="1"/>
    <col min="4364" max="4364" width="5.875" style="278" customWidth="1"/>
    <col min="4365" max="4365" width="5.5" style="278" customWidth="1"/>
    <col min="4366" max="4367" width="8.375" style="278" customWidth="1"/>
    <col min="4368" max="4608" width="10" style="278"/>
    <col min="4609" max="4609" width="3.125" style="278" customWidth="1"/>
    <col min="4610" max="4610" width="17.875" style="278" customWidth="1"/>
    <col min="4611" max="4611" width="10" style="278" customWidth="1"/>
    <col min="4612" max="4612" width="2.375" style="278" customWidth="1"/>
    <col min="4613" max="4613" width="6.125" style="278" customWidth="1"/>
    <col min="4614" max="4614" width="7.125" style="278" customWidth="1"/>
    <col min="4615" max="4615" width="1.875" style="278" customWidth="1"/>
    <col min="4616" max="4617" width="7.125" style="278" customWidth="1"/>
    <col min="4618" max="4618" width="2.125" style="278" customWidth="1"/>
    <col min="4619" max="4619" width="12.125" style="278" customWidth="1"/>
    <col min="4620" max="4620" width="5.875" style="278" customWidth="1"/>
    <col min="4621" max="4621" width="5.5" style="278" customWidth="1"/>
    <col min="4622" max="4623" width="8.375" style="278" customWidth="1"/>
    <col min="4624" max="4864" width="10" style="278"/>
    <col min="4865" max="4865" width="3.125" style="278" customWidth="1"/>
    <col min="4866" max="4866" width="17.875" style="278" customWidth="1"/>
    <col min="4867" max="4867" width="10" style="278" customWidth="1"/>
    <col min="4868" max="4868" width="2.375" style="278" customWidth="1"/>
    <col min="4869" max="4869" width="6.125" style="278" customWidth="1"/>
    <col min="4870" max="4870" width="7.125" style="278" customWidth="1"/>
    <col min="4871" max="4871" width="1.875" style="278" customWidth="1"/>
    <col min="4872" max="4873" width="7.125" style="278" customWidth="1"/>
    <col min="4874" max="4874" width="2.125" style="278" customWidth="1"/>
    <col min="4875" max="4875" width="12.125" style="278" customWidth="1"/>
    <col min="4876" max="4876" width="5.875" style="278" customWidth="1"/>
    <col min="4877" max="4877" width="5.5" style="278" customWidth="1"/>
    <col min="4878" max="4879" width="8.375" style="278" customWidth="1"/>
    <col min="4880" max="5120" width="10" style="278"/>
    <col min="5121" max="5121" width="3.125" style="278" customWidth="1"/>
    <col min="5122" max="5122" width="17.875" style="278" customWidth="1"/>
    <col min="5123" max="5123" width="10" style="278" customWidth="1"/>
    <col min="5124" max="5124" width="2.375" style="278" customWidth="1"/>
    <col min="5125" max="5125" width="6.125" style="278" customWidth="1"/>
    <col min="5126" max="5126" width="7.125" style="278" customWidth="1"/>
    <col min="5127" max="5127" width="1.875" style="278" customWidth="1"/>
    <col min="5128" max="5129" width="7.125" style="278" customWidth="1"/>
    <col min="5130" max="5130" width="2.125" style="278" customWidth="1"/>
    <col min="5131" max="5131" width="12.125" style="278" customWidth="1"/>
    <col min="5132" max="5132" width="5.875" style="278" customWidth="1"/>
    <col min="5133" max="5133" width="5.5" style="278" customWidth="1"/>
    <col min="5134" max="5135" width="8.375" style="278" customWidth="1"/>
    <col min="5136" max="5376" width="10" style="278"/>
    <col min="5377" max="5377" width="3.125" style="278" customWidth="1"/>
    <col min="5378" max="5378" width="17.875" style="278" customWidth="1"/>
    <col min="5379" max="5379" width="10" style="278" customWidth="1"/>
    <col min="5380" max="5380" width="2.375" style="278" customWidth="1"/>
    <col min="5381" max="5381" width="6.125" style="278" customWidth="1"/>
    <col min="5382" max="5382" width="7.125" style="278" customWidth="1"/>
    <col min="5383" max="5383" width="1.875" style="278" customWidth="1"/>
    <col min="5384" max="5385" width="7.125" style="278" customWidth="1"/>
    <col min="5386" max="5386" width="2.125" style="278" customWidth="1"/>
    <col min="5387" max="5387" width="12.125" style="278" customWidth="1"/>
    <col min="5388" max="5388" width="5.875" style="278" customWidth="1"/>
    <col min="5389" max="5389" width="5.5" style="278" customWidth="1"/>
    <col min="5390" max="5391" width="8.375" style="278" customWidth="1"/>
    <col min="5392" max="5632" width="10" style="278"/>
    <col min="5633" max="5633" width="3.125" style="278" customWidth="1"/>
    <col min="5634" max="5634" width="17.875" style="278" customWidth="1"/>
    <col min="5635" max="5635" width="10" style="278" customWidth="1"/>
    <col min="5636" max="5636" width="2.375" style="278" customWidth="1"/>
    <col min="5637" max="5637" width="6.125" style="278" customWidth="1"/>
    <col min="5638" max="5638" width="7.125" style="278" customWidth="1"/>
    <col min="5639" max="5639" width="1.875" style="278" customWidth="1"/>
    <col min="5640" max="5641" width="7.125" style="278" customWidth="1"/>
    <col min="5642" max="5642" width="2.125" style="278" customWidth="1"/>
    <col min="5643" max="5643" width="12.125" style="278" customWidth="1"/>
    <col min="5644" max="5644" width="5.875" style="278" customWidth="1"/>
    <col min="5645" max="5645" width="5.5" style="278" customWidth="1"/>
    <col min="5646" max="5647" width="8.375" style="278" customWidth="1"/>
    <col min="5648" max="5888" width="10" style="278"/>
    <col min="5889" max="5889" width="3.125" style="278" customWidth="1"/>
    <col min="5890" max="5890" width="17.875" style="278" customWidth="1"/>
    <col min="5891" max="5891" width="10" style="278" customWidth="1"/>
    <col min="5892" max="5892" width="2.375" style="278" customWidth="1"/>
    <col min="5893" max="5893" width="6.125" style="278" customWidth="1"/>
    <col min="5894" max="5894" width="7.125" style="278" customWidth="1"/>
    <col min="5895" max="5895" width="1.875" style="278" customWidth="1"/>
    <col min="5896" max="5897" width="7.125" style="278" customWidth="1"/>
    <col min="5898" max="5898" width="2.125" style="278" customWidth="1"/>
    <col min="5899" max="5899" width="12.125" style="278" customWidth="1"/>
    <col min="5900" max="5900" width="5.875" style="278" customWidth="1"/>
    <col min="5901" max="5901" width="5.5" style="278" customWidth="1"/>
    <col min="5902" max="5903" width="8.375" style="278" customWidth="1"/>
    <col min="5904" max="6144" width="10" style="278"/>
    <col min="6145" max="6145" width="3.125" style="278" customWidth="1"/>
    <col min="6146" max="6146" width="17.875" style="278" customWidth="1"/>
    <col min="6147" max="6147" width="10" style="278" customWidth="1"/>
    <col min="6148" max="6148" width="2.375" style="278" customWidth="1"/>
    <col min="6149" max="6149" width="6.125" style="278" customWidth="1"/>
    <col min="6150" max="6150" width="7.125" style="278" customWidth="1"/>
    <col min="6151" max="6151" width="1.875" style="278" customWidth="1"/>
    <col min="6152" max="6153" width="7.125" style="278" customWidth="1"/>
    <col min="6154" max="6154" width="2.125" style="278" customWidth="1"/>
    <col min="6155" max="6155" width="12.125" style="278" customWidth="1"/>
    <col min="6156" max="6156" width="5.875" style="278" customWidth="1"/>
    <col min="6157" max="6157" width="5.5" style="278" customWidth="1"/>
    <col min="6158" max="6159" width="8.375" style="278" customWidth="1"/>
    <col min="6160" max="6400" width="10" style="278"/>
    <col min="6401" max="6401" width="3.125" style="278" customWidth="1"/>
    <col min="6402" max="6402" width="17.875" style="278" customWidth="1"/>
    <col min="6403" max="6403" width="10" style="278" customWidth="1"/>
    <col min="6404" max="6404" width="2.375" style="278" customWidth="1"/>
    <col min="6405" max="6405" width="6.125" style="278" customWidth="1"/>
    <col min="6406" max="6406" width="7.125" style="278" customWidth="1"/>
    <col min="6407" max="6407" width="1.875" style="278" customWidth="1"/>
    <col min="6408" max="6409" width="7.125" style="278" customWidth="1"/>
    <col min="6410" max="6410" width="2.125" style="278" customWidth="1"/>
    <col min="6411" max="6411" width="12.125" style="278" customWidth="1"/>
    <col min="6412" max="6412" width="5.875" style="278" customWidth="1"/>
    <col min="6413" max="6413" width="5.5" style="278" customWidth="1"/>
    <col min="6414" max="6415" width="8.375" style="278" customWidth="1"/>
    <col min="6416" max="6656" width="10" style="278"/>
    <col min="6657" max="6657" width="3.125" style="278" customWidth="1"/>
    <col min="6658" max="6658" width="17.875" style="278" customWidth="1"/>
    <col min="6659" max="6659" width="10" style="278" customWidth="1"/>
    <col min="6660" max="6660" width="2.375" style="278" customWidth="1"/>
    <col min="6661" max="6661" width="6.125" style="278" customWidth="1"/>
    <col min="6662" max="6662" width="7.125" style="278" customWidth="1"/>
    <col min="6663" max="6663" width="1.875" style="278" customWidth="1"/>
    <col min="6664" max="6665" width="7.125" style="278" customWidth="1"/>
    <col min="6666" max="6666" width="2.125" style="278" customWidth="1"/>
    <col min="6667" max="6667" width="12.125" style="278" customWidth="1"/>
    <col min="6668" max="6668" width="5.875" style="278" customWidth="1"/>
    <col min="6669" max="6669" width="5.5" style="278" customWidth="1"/>
    <col min="6670" max="6671" width="8.375" style="278" customWidth="1"/>
    <col min="6672" max="6912" width="10" style="278"/>
    <col min="6913" max="6913" width="3.125" style="278" customWidth="1"/>
    <col min="6914" max="6914" width="17.875" style="278" customWidth="1"/>
    <col min="6915" max="6915" width="10" style="278" customWidth="1"/>
    <col min="6916" max="6916" width="2.375" style="278" customWidth="1"/>
    <col min="6917" max="6917" width="6.125" style="278" customWidth="1"/>
    <col min="6918" max="6918" width="7.125" style="278" customWidth="1"/>
    <col min="6919" max="6919" width="1.875" style="278" customWidth="1"/>
    <col min="6920" max="6921" width="7.125" style="278" customWidth="1"/>
    <col min="6922" max="6922" width="2.125" style="278" customWidth="1"/>
    <col min="6923" max="6923" width="12.125" style="278" customWidth="1"/>
    <col min="6924" max="6924" width="5.875" style="278" customWidth="1"/>
    <col min="6925" max="6925" width="5.5" style="278" customWidth="1"/>
    <col min="6926" max="6927" width="8.375" style="278" customWidth="1"/>
    <col min="6928" max="7168" width="10" style="278"/>
    <col min="7169" max="7169" width="3.125" style="278" customWidth="1"/>
    <col min="7170" max="7170" width="17.875" style="278" customWidth="1"/>
    <col min="7171" max="7171" width="10" style="278" customWidth="1"/>
    <col min="7172" max="7172" width="2.375" style="278" customWidth="1"/>
    <col min="7173" max="7173" width="6.125" style="278" customWidth="1"/>
    <col min="7174" max="7174" width="7.125" style="278" customWidth="1"/>
    <col min="7175" max="7175" width="1.875" style="278" customWidth="1"/>
    <col min="7176" max="7177" width="7.125" style="278" customWidth="1"/>
    <col min="7178" max="7178" width="2.125" style="278" customWidth="1"/>
    <col min="7179" max="7179" width="12.125" style="278" customWidth="1"/>
    <col min="7180" max="7180" width="5.875" style="278" customWidth="1"/>
    <col min="7181" max="7181" width="5.5" style="278" customWidth="1"/>
    <col min="7182" max="7183" width="8.375" style="278" customWidth="1"/>
    <col min="7184" max="7424" width="10" style="278"/>
    <col min="7425" max="7425" width="3.125" style="278" customWidth="1"/>
    <col min="7426" max="7426" width="17.875" style="278" customWidth="1"/>
    <col min="7427" max="7427" width="10" style="278" customWidth="1"/>
    <col min="7428" max="7428" width="2.375" style="278" customWidth="1"/>
    <col min="7429" max="7429" width="6.125" style="278" customWidth="1"/>
    <col min="7430" max="7430" width="7.125" style="278" customWidth="1"/>
    <col min="7431" max="7431" width="1.875" style="278" customWidth="1"/>
    <col min="7432" max="7433" width="7.125" style="278" customWidth="1"/>
    <col min="7434" max="7434" width="2.125" style="278" customWidth="1"/>
    <col min="7435" max="7435" width="12.125" style="278" customWidth="1"/>
    <col min="7436" max="7436" width="5.875" style="278" customWidth="1"/>
    <col min="7437" max="7437" width="5.5" style="278" customWidth="1"/>
    <col min="7438" max="7439" width="8.375" style="278" customWidth="1"/>
    <col min="7440" max="7680" width="10" style="278"/>
    <col min="7681" max="7681" width="3.125" style="278" customWidth="1"/>
    <col min="7682" max="7682" width="17.875" style="278" customWidth="1"/>
    <col min="7683" max="7683" width="10" style="278" customWidth="1"/>
    <col min="7684" max="7684" width="2.375" style="278" customWidth="1"/>
    <col min="7685" max="7685" width="6.125" style="278" customWidth="1"/>
    <col min="7686" max="7686" width="7.125" style="278" customWidth="1"/>
    <col min="7687" max="7687" width="1.875" style="278" customWidth="1"/>
    <col min="7688" max="7689" width="7.125" style="278" customWidth="1"/>
    <col min="7690" max="7690" width="2.125" style="278" customWidth="1"/>
    <col min="7691" max="7691" width="12.125" style="278" customWidth="1"/>
    <col min="7692" max="7692" width="5.875" style="278" customWidth="1"/>
    <col min="7693" max="7693" width="5.5" style="278" customWidth="1"/>
    <col min="7694" max="7695" width="8.375" style="278" customWidth="1"/>
    <col min="7696" max="7936" width="10" style="278"/>
    <col min="7937" max="7937" width="3.125" style="278" customWidth="1"/>
    <col min="7938" max="7938" width="17.875" style="278" customWidth="1"/>
    <col min="7939" max="7939" width="10" style="278" customWidth="1"/>
    <col min="7940" max="7940" width="2.375" style="278" customWidth="1"/>
    <col min="7941" max="7941" width="6.125" style="278" customWidth="1"/>
    <col min="7942" max="7942" width="7.125" style="278" customWidth="1"/>
    <col min="7943" max="7943" width="1.875" style="278" customWidth="1"/>
    <col min="7944" max="7945" width="7.125" style="278" customWidth="1"/>
    <col min="7946" max="7946" width="2.125" style="278" customWidth="1"/>
    <col min="7947" max="7947" width="12.125" style="278" customWidth="1"/>
    <col min="7948" max="7948" width="5.875" style="278" customWidth="1"/>
    <col min="7949" max="7949" width="5.5" style="278" customWidth="1"/>
    <col min="7950" max="7951" width="8.375" style="278" customWidth="1"/>
    <col min="7952" max="8192" width="10" style="278"/>
    <col min="8193" max="8193" width="3.125" style="278" customWidth="1"/>
    <col min="8194" max="8194" width="17.875" style="278" customWidth="1"/>
    <col min="8195" max="8195" width="10" style="278" customWidth="1"/>
    <col min="8196" max="8196" width="2.375" style="278" customWidth="1"/>
    <col min="8197" max="8197" width="6.125" style="278" customWidth="1"/>
    <col min="8198" max="8198" width="7.125" style="278" customWidth="1"/>
    <col min="8199" max="8199" width="1.875" style="278" customWidth="1"/>
    <col min="8200" max="8201" width="7.125" style="278" customWidth="1"/>
    <col min="8202" max="8202" width="2.125" style="278" customWidth="1"/>
    <col min="8203" max="8203" width="12.125" style="278" customWidth="1"/>
    <col min="8204" max="8204" width="5.875" style="278" customWidth="1"/>
    <col min="8205" max="8205" width="5.5" style="278" customWidth="1"/>
    <col min="8206" max="8207" width="8.375" style="278" customWidth="1"/>
    <col min="8208" max="8448" width="10" style="278"/>
    <col min="8449" max="8449" width="3.125" style="278" customWidth="1"/>
    <col min="8450" max="8450" width="17.875" style="278" customWidth="1"/>
    <col min="8451" max="8451" width="10" style="278" customWidth="1"/>
    <col min="8452" max="8452" width="2.375" style="278" customWidth="1"/>
    <col min="8453" max="8453" width="6.125" style="278" customWidth="1"/>
    <col min="8454" max="8454" width="7.125" style="278" customWidth="1"/>
    <col min="8455" max="8455" width="1.875" style="278" customWidth="1"/>
    <col min="8456" max="8457" width="7.125" style="278" customWidth="1"/>
    <col min="8458" max="8458" width="2.125" style="278" customWidth="1"/>
    <col min="8459" max="8459" width="12.125" style="278" customWidth="1"/>
    <col min="8460" max="8460" width="5.875" style="278" customWidth="1"/>
    <col min="8461" max="8461" width="5.5" style="278" customWidth="1"/>
    <col min="8462" max="8463" width="8.375" style="278" customWidth="1"/>
    <col min="8464" max="8704" width="10" style="278"/>
    <col min="8705" max="8705" width="3.125" style="278" customWidth="1"/>
    <col min="8706" max="8706" width="17.875" style="278" customWidth="1"/>
    <col min="8707" max="8707" width="10" style="278" customWidth="1"/>
    <col min="8708" max="8708" width="2.375" style="278" customWidth="1"/>
    <col min="8709" max="8709" width="6.125" style="278" customWidth="1"/>
    <col min="8710" max="8710" width="7.125" style="278" customWidth="1"/>
    <col min="8711" max="8711" width="1.875" style="278" customWidth="1"/>
    <col min="8712" max="8713" width="7.125" style="278" customWidth="1"/>
    <col min="8714" max="8714" width="2.125" style="278" customWidth="1"/>
    <col min="8715" max="8715" width="12.125" style="278" customWidth="1"/>
    <col min="8716" max="8716" width="5.875" style="278" customWidth="1"/>
    <col min="8717" max="8717" width="5.5" style="278" customWidth="1"/>
    <col min="8718" max="8719" width="8.375" style="278" customWidth="1"/>
    <col min="8720" max="8960" width="10" style="278"/>
    <col min="8961" max="8961" width="3.125" style="278" customWidth="1"/>
    <col min="8962" max="8962" width="17.875" style="278" customWidth="1"/>
    <col min="8963" max="8963" width="10" style="278" customWidth="1"/>
    <col min="8964" max="8964" width="2.375" style="278" customWidth="1"/>
    <col min="8965" max="8965" width="6.125" style="278" customWidth="1"/>
    <col min="8966" max="8966" width="7.125" style="278" customWidth="1"/>
    <col min="8967" max="8967" width="1.875" style="278" customWidth="1"/>
    <col min="8968" max="8969" width="7.125" style="278" customWidth="1"/>
    <col min="8970" max="8970" width="2.125" style="278" customWidth="1"/>
    <col min="8971" max="8971" width="12.125" style="278" customWidth="1"/>
    <col min="8972" max="8972" width="5.875" style="278" customWidth="1"/>
    <col min="8973" max="8973" width="5.5" style="278" customWidth="1"/>
    <col min="8974" max="8975" width="8.375" style="278" customWidth="1"/>
    <col min="8976" max="9216" width="10" style="278"/>
    <col min="9217" max="9217" width="3.125" style="278" customWidth="1"/>
    <col min="9218" max="9218" width="17.875" style="278" customWidth="1"/>
    <col min="9219" max="9219" width="10" style="278" customWidth="1"/>
    <col min="9220" max="9220" width="2.375" style="278" customWidth="1"/>
    <col min="9221" max="9221" width="6.125" style="278" customWidth="1"/>
    <col min="9222" max="9222" width="7.125" style="278" customWidth="1"/>
    <col min="9223" max="9223" width="1.875" style="278" customWidth="1"/>
    <col min="9224" max="9225" width="7.125" style="278" customWidth="1"/>
    <col min="9226" max="9226" width="2.125" style="278" customWidth="1"/>
    <col min="9227" max="9227" width="12.125" style="278" customWidth="1"/>
    <col min="9228" max="9228" width="5.875" style="278" customWidth="1"/>
    <col min="9229" max="9229" width="5.5" style="278" customWidth="1"/>
    <col min="9230" max="9231" width="8.375" style="278" customWidth="1"/>
    <col min="9232" max="9472" width="10" style="278"/>
    <col min="9473" max="9473" width="3.125" style="278" customWidth="1"/>
    <col min="9474" max="9474" width="17.875" style="278" customWidth="1"/>
    <col min="9475" max="9475" width="10" style="278" customWidth="1"/>
    <col min="9476" max="9476" width="2.375" style="278" customWidth="1"/>
    <col min="9477" max="9477" width="6.125" style="278" customWidth="1"/>
    <col min="9478" max="9478" width="7.125" style="278" customWidth="1"/>
    <col min="9479" max="9479" width="1.875" style="278" customWidth="1"/>
    <col min="9480" max="9481" width="7.125" style="278" customWidth="1"/>
    <col min="9482" max="9482" width="2.125" style="278" customWidth="1"/>
    <col min="9483" max="9483" width="12.125" style="278" customWidth="1"/>
    <col min="9484" max="9484" width="5.875" style="278" customWidth="1"/>
    <col min="9485" max="9485" width="5.5" style="278" customWidth="1"/>
    <col min="9486" max="9487" width="8.375" style="278" customWidth="1"/>
    <col min="9488" max="9728" width="10" style="278"/>
    <col min="9729" max="9729" width="3.125" style="278" customWidth="1"/>
    <col min="9730" max="9730" width="17.875" style="278" customWidth="1"/>
    <col min="9731" max="9731" width="10" style="278" customWidth="1"/>
    <col min="9732" max="9732" width="2.375" style="278" customWidth="1"/>
    <col min="9733" max="9733" width="6.125" style="278" customWidth="1"/>
    <col min="9734" max="9734" width="7.125" style="278" customWidth="1"/>
    <col min="9735" max="9735" width="1.875" style="278" customWidth="1"/>
    <col min="9736" max="9737" width="7.125" style="278" customWidth="1"/>
    <col min="9738" max="9738" width="2.125" style="278" customWidth="1"/>
    <col min="9739" max="9739" width="12.125" style="278" customWidth="1"/>
    <col min="9740" max="9740" width="5.875" style="278" customWidth="1"/>
    <col min="9741" max="9741" width="5.5" style="278" customWidth="1"/>
    <col min="9742" max="9743" width="8.375" style="278" customWidth="1"/>
    <col min="9744" max="9984" width="10" style="278"/>
    <col min="9985" max="9985" width="3.125" style="278" customWidth="1"/>
    <col min="9986" max="9986" width="17.875" style="278" customWidth="1"/>
    <col min="9987" max="9987" width="10" style="278" customWidth="1"/>
    <col min="9988" max="9988" width="2.375" style="278" customWidth="1"/>
    <col min="9989" max="9989" width="6.125" style="278" customWidth="1"/>
    <col min="9990" max="9990" width="7.125" style="278" customWidth="1"/>
    <col min="9991" max="9991" width="1.875" style="278" customWidth="1"/>
    <col min="9992" max="9993" width="7.125" style="278" customWidth="1"/>
    <col min="9994" max="9994" width="2.125" style="278" customWidth="1"/>
    <col min="9995" max="9995" width="12.125" style="278" customWidth="1"/>
    <col min="9996" max="9996" width="5.875" style="278" customWidth="1"/>
    <col min="9997" max="9997" width="5.5" style="278" customWidth="1"/>
    <col min="9998" max="9999" width="8.375" style="278" customWidth="1"/>
    <col min="10000" max="10240" width="10" style="278"/>
    <col min="10241" max="10241" width="3.125" style="278" customWidth="1"/>
    <col min="10242" max="10242" width="17.875" style="278" customWidth="1"/>
    <col min="10243" max="10243" width="10" style="278" customWidth="1"/>
    <col min="10244" max="10244" width="2.375" style="278" customWidth="1"/>
    <col min="10245" max="10245" width="6.125" style="278" customWidth="1"/>
    <col min="10246" max="10246" width="7.125" style="278" customWidth="1"/>
    <col min="10247" max="10247" width="1.875" style="278" customWidth="1"/>
    <col min="10248" max="10249" width="7.125" style="278" customWidth="1"/>
    <col min="10250" max="10250" width="2.125" style="278" customWidth="1"/>
    <col min="10251" max="10251" width="12.125" style="278" customWidth="1"/>
    <col min="10252" max="10252" width="5.875" style="278" customWidth="1"/>
    <col min="10253" max="10253" width="5.5" style="278" customWidth="1"/>
    <col min="10254" max="10255" width="8.375" style="278" customWidth="1"/>
    <col min="10256" max="10496" width="10" style="278"/>
    <col min="10497" max="10497" width="3.125" style="278" customWidth="1"/>
    <col min="10498" max="10498" width="17.875" style="278" customWidth="1"/>
    <col min="10499" max="10499" width="10" style="278" customWidth="1"/>
    <col min="10500" max="10500" width="2.375" style="278" customWidth="1"/>
    <col min="10501" max="10501" width="6.125" style="278" customWidth="1"/>
    <col min="10502" max="10502" width="7.125" style="278" customWidth="1"/>
    <col min="10503" max="10503" width="1.875" style="278" customWidth="1"/>
    <col min="10504" max="10505" width="7.125" style="278" customWidth="1"/>
    <col min="10506" max="10506" width="2.125" style="278" customWidth="1"/>
    <col min="10507" max="10507" width="12.125" style="278" customWidth="1"/>
    <col min="10508" max="10508" width="5.875" style="278" customWidth="1"/>
    <col min="10509" max="10509" width="5.5" style="278" customWidth="1"/>
    <col min="10510" max="10511" width="8.375" style="278" customWidth="1"/>
    <col min="10512" max="10752" width="10" style="278"/>
    <col min="10753" max="10753" width="3.125" style="278" customWidth="1"/>
    <col min="10754" max="10754" width="17.875" style="278" customWidth="1"/>
    <col min="10755" max="10755" width="10" style="278" customWidth="1"/>
    <col min="10756" max="10756" width="2.375" style="278" customWidth="1"/>
    <col min="10757" max="10757" width="6.125" style="278" customWidth="1"/>
    <col min="10758" max="10758" width="7.125" style="278" customWidth="1"/>
    <col min="10759" max="10759" width="1.875" style="278" customWidth="1"/>
    <col min="10760" max="10761" width="7.125" style="278" customWidth="1"/>
    <col min="10762" max="10762" width="2.125" style="278" customWidth="1"/>
    <col min="10763" max="10763" width="12.125" style="278" customWidth="1"/>
    <col min="10764" max="10764" width="5.875" style="278" customWidth="1"/>
    <col min="10765" max="10765" width="5.5" style="278" customWidth="1"/>
    <col min="10766" max="10767" width="8.375" style="278" customWidth="1"/>
    <col min="10768" max="11008" width="10" style="278"/>
    <col min="11009" max="11009" width="3.125" style="278" customWidth="1"/>
    <col min="11010" max="11010" width="17.875" style="278" customWidth="1"/>
    <col min="11011" max="11011" width="10" style="278" customWidth="1"/>
    <col min="11012" max="11012" width="2.375" style="278" customWidth="1"/>
    <col min="11013" max="11013" width="6.125" style="278" customWidth="1"/>
    <col min="11014" max="11014" width="7.125" style="278" customWidth="1"/>
    <col min="11015" max="11015" width="1.875" style="278" customWidth="1"/>
    <col min="11016" max="11017" width="7.125" style="278" customWidth="1"/>
    <col min="11018" max="11018" width="2.125" style="278" customWidth="1"/>
    <col min="11019" max="11019" width="12.125" style="278" customWidth="1"/>
    <col min="11020" max="11020" width="5.875" style="278" customWidth="1"/>
    <col min="11021" max="11021" width="5.5" style="278" customWidth="1"/>
    <col min="11022" max="11023" width="8.375" style="278" customWidth="1"/>
    <col min="11024" max="11264" width="10" style="278"/>
    <col min="11265" max="11265" width="3.125" style="278" customWidth="1"/>
    <col min="11266" max="11266" width="17.875" style="278" customWidth="1"/>
    <col min="11267" max="11267" width="10" style="278" customWidth="1"/>
    <col min="11268" max="11268" width="2.375" style="278" customWidth="1"/>
    <col min="11269" max="11269" width="6.125" style="278" customWidth="1"/>
    <col min="11270" max="11270" width="7.125" style="278" customWidth="1"/>
    <col min="11271" max="11271" width="1.875" style="278" customWidth="1"/>
    <col min="11272" max="11273" width="7.125" style="278" customWidth="1"/>
    <col min="11274" max="11274" width="2.125" style="278" customWidth="1"/>
    <col min="11275" max="11275" width="12.125" style="278" customWidth="1"/>
    <col min="11276" max="11276" width="5.875" style="278" customWidth="1"/>
    <col min="11277" max="11277" width="5.5" style="278" customWidth="1"/>
    <col min="11278" max="11279" width="8.375" style="278" customWidth="1"/>
    <col min="11280" max="11520" width="10" style="278"/>
    <col min="11521" max="11521" width="3.125" style="278" customWidth="1"/>
    <col min="11522" max="11522" width="17.875" style="278" customWidth="1"/>
    <col min="11523" max="11523" width="10" style="278" customWidth="1"/>
    <col min="11524" max="11524" width="2.375" style="278" customWidth="1"/>
    <col min="11525" max="11525" width="6.125" style="278" customWidth="1"/>
    <col min="11526" max="11526" width="7.125" style="278" customWidth="1"/>
    <col min="11527" max="11527" width="1.875" style="278" customWidth="1"/>
    <col min="11528" max="11529" width="7.125" style="278" customWidth="1"/>
    <col min="11530" max="11530" width="2.125" style="278" customWidth="1"/>
    <col min="11531" max="11531" width="12.125" style="278" customWidth="1"/>
    <col min="11532" max="11532" width="5.875" style="278" customWidth="1"/>
    <col min="11533" max="11533" width="5.5" style="278" customWidth="1"/>
    <col min="11534" max="11535" width="8.375" style="278" customWidth="1"/>
    <col min="11536" max="11776" width="10" style="278"/>
    <col min="11777" max="11777" width="3.125" style="278" customWidth="1"/>
    <col min="11778" max="11778" width="17.875" style="278" customWidth="1"/>
    <col min="11779" max="11779" width="10" style="278" customWidth="1"/>
    <col min="11780" max="11780" width="2.375" style="278" customWidth="1"/>
    <col min="11781" max="11781" width="6.125" style="278" customWidth="1"/>
    <col min="11782" max="11782" width="7.125" style="278" customWidth="1"/>
    <col min="11783" max="11783" width="1.875" style="278" customWidth="1"/>
    <col min="11784" max="11785" width="7.125" style="278" customWidth="1"/>
    <col min="11786" max="11786" width="2.125" style="278" customWidth="1"/>
    <col min="11787" max="11787" width="12.125" style="278" customWidth="1"/>
    <col min="11788" max="11788" width="5.875" style="278" customWidth="1"/>
    <col min="11789" max="11789" width="5.5" style="278" customWidth="1"/>
    <col min="11790" max="11791" width="8.375" style="278" customWidth="1"/>
    <col min="11792" max="12032" width="10" style="278"/>
    <col min="12033" max="12033" width="3.125" style="278" customWidth="1"/>
    <col min="12034" max="12034" width="17.875" style="278" customWidth="1"/>
    <col min="12035" max="12035" width="10" style="278" customWidth="1"/>
    <col min="12036" max="12036" width="2.375" style="278" customWidth="1"/>
    <col min="12037" max="12037" width="6.125" style="278" customWidth="1"/>
    <col min="12038" max="12038" width="7.125" style="278" customWidth="1"/>
    <col min="12039" max="12039" width="1.875" style="278" customWidth="1"/>
    <col min="12040" max="12041" width="7.125" style="278" customWidth="1"/>
    <col min="12042" max="12042" width="2.125" style="278" customWidth="1"/>
    <col min="12043" max="12043" width="12.125" style="278" customWidth="1"/>
    <col min="12044" max="12044" width="5.875" style="278" customWidth="1"/>
    <col min="12045" max="12045" width="5.5" style="278" customWidth="1"/>
    <col min="12046" max="12047" width="8.375" style="278" customWidth="1"/>
    <col min="12048" max="12288" width="10" style="278"/>
    <col min="12289" max="12289" width="3.125" style="278" customWidth="1"/>
    <col min="12290" max="12290" width="17.875" style="278" customWidth="1"/>
    <col min="12291" max="12291" width="10" style="278" customWidth="1"/>
    <col min="12292" max="12292" width="2.375" style="278" customWidth="1"/>
    <col min="12293" max="12293" width="6.125" style="278" customWidth="1"/>
    <col min="12294" max="12294" width="7.125" style="278" customWidth="1"/>
    <col min="12295" max="12295" width="1.875" style="278" customWidth="1"/>
    <col min="12296" max="12297" width="7.125" style="278" customWidth="1"/>
    <col min="12298" max="12298" width="2.125" style="278" customWidth="1"/>
    <col min="12299" max="12299" width="12.125" style="278" customWidth="1"/>
    <col min="12300" max="12300" width="5.875" style="278" customWidth="1"/>
    <col min="12301" max="12301" width="5.5" style="278" customWidth="1"/>
    <col min="12302" max="12303" width="8.375" style="278" customWidth="1"/>
    <col min="12304" max="12544" width="10" style="278"/>
    <col min="12545" max="12545" width="3.125" style="278" customWidth="1"/>
    <col min="12546" max="12546" width="17.875" style="278" customWidth="1"/>
    <col min="12547" max="12547" width="10" style="278" customWidth="1"/>
    <col min="12548" max="12548" width="2.375" style="278" customWidth="1"/>
    <col min="12549" max="12549" width="6.125" style="278" customWidth="1"/>
    <col min="12550" max="12550" width="7.125" style="278" customWidth="1"/>
    <col min="12551" max="12551" width="1.875" style="278" customWidth="1"/>
    <col min="12552" max="12553" width="7.125" style="278" customWidth="1"/>
    <col min="12554" max="12554" width="2.125" style="278" customWidth="1"/>
    <col min="12555" max="12555" width="12.125" style="278" customWidth="1"/>
    <col min="12556" max="12556" width="5.875" style="278" customWidth="1"/>
    <col min="12557" max="12557" width="5.5" style="278" customWidth="1"/>
    <col min="12558" max="12559" width="8.375" style="278" customWidth="1"/>
    <col min="12560" max="12800" width="10" style="278"/>
    <col min="12801" max="12801" width="3.125" style="278" customWidth="1"/>
    <col min="12802" max="12802" width="17.875" style="278" customWidth="1"/>
    <col min="12803" max="12803" width="10" style="278" customWidth="1"/>
    <col min="12804" max="12804" width="2.375" style="278" customWidth="1"/>
    <col min="12805" max="12805" width="6.125" style="278" customWidth="1"/>
    <col min="12806" max="12806" width="7.125" style="278" customWidth="1"/>
    <col min="12807" max="12807" width="1.875" style="278" customWidth="1"/>
    <col min="12808" max="12809" width="7.125" style="278" customWidth="1"/>
    <col min="12810" max="12810" width="2.125" style="278" customWidth="1"/>
    <col min="12811" max="12811" width="12.125" style="278" customWidth="1"/>
    <col min="12812" max="12812" width="5.875" style="278" customWidth="1"/>
    <col min="12813" max="12813" width="5.5" style="278" customWidth="1"/>
    <col min="12814" max="12815" width="8.375" style="278" customWidth="1"/>
    <col min="12816" max="13056" width="10" style="278"/>
    <col min="13057" max="13057" width="3.125" style="278" customWidth="1"/>
    <col min="13058" max="13058" width="17.875" style="278" customWidth="1"/>
    <col min="13059" max="13059" width="10" style="278" customWidth="1"/>
    <col min="13060" max="13060" width="2.375" style="278" customWidth="1"/>
    <col min="13061" max="13061" width="6.125" style="278" customWidth="1"/>
    <col min="13062" max="13062" width="7.125" style="278" customWidth="1"/>
    <col min="13063" max="13063" width="1.875" style="278" customWidth="1"/>
    <col min="13064" max="13065" width="7.125" style="278" customWidth="1"/>
    <col min="13066" max="13066" width="2.125" style="278" customWidth="1"/>
    <col min="13067" max="13067" width="12.125" style="278" customWidth="1"/>
    <col min="13068" max="13068" width="5.875" style="278" customWidth="1"/>
    <col min="13069" max="13069" width="5.5" style="278" customWidth="1"/>
    <col min="13070" max="13071" width="8.375" style="278" customWidth="1"/>
    <col min="13072" max="13312" width="10" style="278"/>
    <col min="13313" max="13313" width="3.125" style="278" customWidth="1"/>
    <col min="13314" max="13314" width="17.875" style="278" customWidth="1"/>
    <col min="13315" max="13315" width="10" style="278" customWidth="1"/>
    <col min="13316" max="13316" width="2.375" style="278" customWidth="1"/>
    <col min="13317" max="13317" width="6.125" style="278" customWidth="1"/>
    <col min="13318" max="13318" width="7.125" style="278" customWidth="1"/>
    <col min="13319" max="13319" width="1.875" style="278" customWidth="1"/>
    <col min="13320" max="13321" width="7.125" style="278" customWidth="1"/>
    <col min="13322" max="13322" width="2.125" style="278" customWidth="1"/>
    <col min="13323" max="13323" width="12.125" style="278" customWidth="1"/>
    <col min="13324" max="13324" width="5.875" style="278" customWidth="1"/>
    <col min="13325" max="13325" width="5.5" style="278" customWidth="1"/>
    <col min="13326" max="13327" width="8.375" style="278" customWidth="1"/>
    <col min="13328" max="13568" width="10" style="278"/>
    <col min="13569" max="13569" width="3.125" style="278" customWidth="1"/>
    <col min="13570" max="13570" width="17.875" style="278" customWidth="1"/>
    <col min="13571" max="13571" width="10" style="278" customWidth="1"/>
    <col min="13572" max="13572" width="2.375" style="278" customWidth="1"/>
    <col min="13573" max="13573" width="6.125" style="278" customWidth="1"/>
    <col min="13574" max="13574" width="7.125" style="278" customWidth="1"/>
    <col min="13575" max="13575" width="1.875" style="278" customWidth="1"/>
    <col min="13576" max="13577" width="7.125" style="278" customWidth="1"/>
    <col min="13578" max="13578" width="2.125" style="278" customWidth="1"/>
    <col min="13579" max="13579" width="12.125" style="278" customWidth="1"/>
    <col min="13580" max="13580" width="5.875" style="278" customWidth="1"/>
    <col min="13581" max="13581" width="5.5" style="278" customWidth="1"/>
    <col min="13582" max="13583" width="8.375" style="278" customWidth="1"/>
    <col min="13584" max="13824" width="10" style="278"/>
    <col min="13825" max="13825" width="3.125" style="278" customWidth="1"/>
    <col min="13826" max="13826" width="17.875" style="278" customWidth="1"/>
    <col min="13827" max="13827" width="10" style="278" customWidth="1"/>
    <col min="13828" max="13828" width="2.375" style="278" customWidth="1"/>
    <col min="13829" max="13829" width="6.125" style="278" customWidth="1"/>
    <col min="13830" max="13830" width="7.125" style="278" customWidth="1"/>
    <col min="13831" max="13831" width="1.875" style="278" customWidth="1"/>
    <col min="13832" max="13833" width="7.125" style="278" customWidth="1"/>
    <col min="13834" max="13834" width="2.125" style="278" customWidth="1"/>
    <col min="13835" max="13835" width="12.125" style="278" customWidth="1"/>
    <col min="13836" max="13836" width="5.875" style="278" customWidth="1"/>
    <col min="13837" max="13837" width="5.5" style="278" customWidth="1"/>
    <col min="13838" max="13839" width="8.375" style="278" customWidth="1"/>
    <col min="13840" max="14080" width="10" style="278"/>
    <col min="14081" max="14081" width="3.125" style="278" customWidth="1"/>
    <col min="14082" max="14082" width="17.875" style="278" customWidth="1"/>
    <col min="14083" max="14083" width="10" style="278" customWidth="1"/>
    <col min="14084" max="14084" width="2.375" style="278" customWidth="1"/>
    <col min="14085" max="14085" width="6.125" style="278" customWidth="1"/>
    <col min="14086" max="14086" width="7.125" style="278" customWidth="1"/>
    <col min="14087" max="14087" width="1.875" style="278" customWidth="1"/>
    <col min="14088" max="14089" width="7.125" style="278" customWidth="1"/>
    <col min="14090" max="14090" width="2.125" style="278" customWidth="1"/>
    <col min="14091" max="14091" width="12.125" style="278" customWidth="1"/>
    <col min="14092" max="14092" width="5.875" style="278" customWidth="1"/>
    <col min="14093" max="14093" width="5.5" style="278" customWidth="1"/>
    <col min="14094" max="14095" width="8.375" style="278" customWidth="1"/>
    <col min="14096" max="14336" width="10" style="278"/>
    <col min="14337" max="14337" width="3.125" style="278" customWidth="1"/>
    <col min="14338" max="14338" width="17.875" style="278" customWidth="1"/>
    <col min="14339" max="14339" width="10" style="278" customWidth="1"/>
    <col min="14340" max="14340" width="2.375" style="278" customWidth="1"/>
    <col min="14341" max="14341" width="6.125" style="278" customWidth="1"/>
    <col min="14342" max="14342" width="7.125" style="278" customWidth="1"/>
    <col min="14343" max="14343" width="1.875" style="278" customWidth="1"/>
    <col min="14344" max="14345" width="7.125" style="278" customWidth="1"/>
    <col min="14346" max="14346" width="2.125" style="278" customWidth="1"/>
    <col min="14347" max="14347" width="12.125" style="278" customWidth="1"/>
    <col min="14348" max="14348" width="5.875" style="278" customWidth="1"/>
    <col min="14349" max="14349" width="5.5" style="278" customWidth="1"/>
    <col min="14350" max="14351" width="8.375" style="278" customWidth="1"/>
    <col min="14352" max="14592" width="10" style="278"/>
    <col min="14593" max="14593" width="3.125" style="278" customWidth="1"/>
    <col min="14594" max="14594" width="17.875" style="278" customWidth="1"/>
    <col min="14595" max="14595" width="10" style="278" customWidth="1"/>
    <col min="14596" max="14596" width="2.375" style="278" customWidth="1"/>
    <col min="14597" max="14597" width="6.125" style="278" customWidth="1"/>
    <col min="14598" max="14598" width="7.125" style="278" customWidth="1"/>
    <col min="14599" max="14599" width="1.875" style="278" customWidth="1"/>
    <col min="14600" max="14601" width="7.125" style="278" customWidth="1"/>
    <col min="14602" max="14602" width="2.125" style="278" customWidth="1"/>
    <col min="14603" max="14603" width="12.125" style="278" customWidth="1"/>
    <col min="14604" max="14604" width="5.875" style="278" customWidth="1"/>
    <col min="14605" max="14605" width="5.5" style="278" customWidth="1"/>
    <col min="14606" max="14607" width="8.375" style="278" customWidth="1"/>
    <col min="14608" max="14848" width="10" style="278"/>
    <col min="14849" max="14849" width="3.125" style="278" customWidth="1"/>
    <col min="14850" max="14850" width="17.875" style="278" customWidth="1"/>
    <col min="14851" max="14851" width="10" style="278" customWidth="1"/>
    <col min="14852" max="14852" width="2.375" style="278" customWidth="1"/>
    <col min="14853" max="14853" width="6.125" style="278" customWidth="1"/>
    <col min="14854" max="14854" width="7.125" style="278" customWidth="1"/>
    <col min="14855" max="14855" width="1.875" style="278" customWidth="1"/>
    <col min="14856" max="14857" width="7.125" style="278" customWidth="1"/>
    <col min="14858" max="14858" width="2.125" style="278" customWidth="1"/>
    <col min="14859" max="14859" width="12.125" style="278" customWidth="1"/>
    <col min="14860" max="14860" width="5.875" style="278" customWidth="1"/>
    <col min="14861" max="14861" width="5.5" style="278" customWidth="1"/>
    <col min="14862" max="14863" width="8.375" style="278" customWidth="1"/>
    <col min="14864" max="15104" width="10" style="278"/>
    <col min="15105" max="15105" width="3.125" style="278" customWidth="1"/>
    <col min="15106" max="15106" width="17.875" style="278" customWidth="1"/>
    <col min="15107" max="15107" width="10" style="278" customWidth="1"/>
    <col min="15108" max="15108" width="2.375" style="278" customWidth="1"/>
    <col min="15109" max="15109" width="6.125" style="278" customWidth="1"/>
    <col min="15110" max="15110" width="7.125" style="278" customWidth="1"/>
    <col min="15111" max="15111" width="1.875" style="278" customWidth="1"/>
    <col min="15112" max="15113" width="7.125" style="278" customWidth="1"/>
    <col min="15114" max="15114" width="2.125" style="278" customWidth="1"/>
    <col min="15115" max="15115" width="12.125" style="278" customWidth="1"/>
    <col min="15116" max="15116" width="5.875" style="278" customWidth="1"/>
    <col min="15117" max="15117" width="5.5" style="278" customWidth="1"/>
    <col min="15118" max="15119" width="8.375" style="278" customWidth="1"/>
    <col min="15120" max="15360" width="10" style="278"/>
    <col min="15361" max="15361" width="3.125" style="278" customWidth="1"/>
    <col min="15362" max="15362" width="17.875" style="278" customWidth="1"/>
    <col min="15363" max="15363" width="10" style="278" customWidth="1"/>
    <col min="15364" max="15364" width="2.375" style="278" customWidth="1"/>
    <col min="15365" max="15365" width="6.125" style="278" customWidth="1"/>
    <col min="15366" max="15366" width="7.125" style="278" customWidth="1"/>
    <col min="15367" max="15367" width="1.875" style="278" customWidth="1"/>
    <col min="15368" max="15369" width="7.125" style="278" customWidth="1"/>
    <col min="15370" max="15370" width="2.125" style="278" customWidth="1"/>
    <col min="15371" max="15371" width="12.125" style="278" customWidth="1"/>
    <col min="15372" max="15372" width="5.875" style="278" customWidth="1"/>
    <col min="15373" max="15373" width="5.5" style="278" customWidth="1"/>
    <col min="15374" max="15375" width="8.375" style="278" customWidth="1"/>
    <col min="15376" max="15616" width="10" style="278"/>
    <col min="15617" max="15617" width="3.125" style="278" customWidth="1"/>
    <col min="15618" max="15618" width="17.875" style="278" customWidth="1"/>
    <col min="15619" max="15619" width="10" style="278" customWidth="1"/>
    <col min="15620" max="15620" width="2.375" style="278" customWidth="1"/>
    <col min="15621" max="15621" width="6.125" style="278" customWidth="1"/>
    <col min="15622" max="15622" width="7.125" style="278" customWidth="1"/>
    <col min="15623" max="15623" width="1.875" style="278" customWidth="1"/>
    <col min="15624" max="15625" width="7.125" style="278" customWidth="1"/>
    <col min="15626" max="15626" width="2.125" style="278" customWidth="1"/>
    <col min="15627" max="15627" width="12.125" style="278" customWidth="1"/>
    <col min="15628" max="15628" width="5.875" style="278" customWidth="1"/>
    <col min="15629" max="15629" width="5.5" style="278" customWidth="1"/>
    <col min="15630" max="15631" width="8.375" style="278" customWidth="1"/>
    <col min="15632" max="15872" width="10" style="278"/>
    <col min="15873" max="15873" width="3.125" style="278" customWidth="1"/>
    <col min="15874" max="15874" width="17.875" style="278" customWidth="1"/>
    <col min="15875" max="15875" width="10" style="278" customWidth="1"/>
    <col min="15876" max="15876" width="2.375" style="278" customWidth="1"/>
    <col min="15877" max="15877" width="6.125" style="278" customWidth="1"/>
    <col min="15878" max="15878" width="7.125" style="278" customWidth="1"/>
    <col min="15879" max="15879" width="1.875" style="278" customWidth="1"/>
    <col min="15880" max="15881" width="7.125" style="278" customWidth="1"/>
    <col min="15882" max="15882" width="2.125" style="278" customWidth="1"/>
    <col min="15883" max="15883" width="12.125" style="278" customWidth="1"/>
    <col min="15884" max="15884" width="5.875" style="278" customWidth="1"/>
    <col min="15885" max="15885" width="5.5" style="278" customWidth="1"/>
    <col min="15886" max="15887" width="8.375" style="278" customWidth="1"/>
    <col min="15888" max="16128" width="10" style="278"/>
    <col min="16129" max="16129" width="3.125" style="278" customWidth="1"/>
    <col min="16130" max="16130" width="17.875" style="278" customWidth="1"/>
    <col min="16131" max="16131" width="10" style="278" customWidth="1"/>
    <col min="16132" max="16132" width="2.375" style="278" customWidth="1"/>
    <col min="16133" max="16133" width="6.125" style="278" customWidth="1"/>
    <col min="16134" max="16134" width="7.125" style="278" customWidth="1"/>
    <col min="16135" max="16135" width="1.875" style="278" customWidth="1"/>
    <col min="16136" max="16137" width="7.125" style="278" customWidth="1"/>
    <col min="16138" max="16138" width="2.125" style="278" customWidth="1"/>
    <col min="16139" max="16139" width="12.125" style="278" customWidth="1"/>
    <col min="16140" max="16140" width="5.875" style="278" customWidth="1"/>
    <col min="16141" max="16141" width="5.5" style="278" customWidth="1"/>
    <col min="16142" max="16143" width="8.375" style="278" customWidth="1"/>
    <col min="16144" max="16384" width="10" style="278"/>
  </cols>
  <sheetData>
    <row r="1" spans="1:15" ht="14.25" customHeight="1">
      <c r="A1" s="276" t="s">
        <v>301</v>
      </c>
      <c r="B1" s="277"/>
      <c r="N1" s="279" t="s">
        <v>302</v>
      </c>
      <c r="O1" s="279" t="s">
        <v>303</v>
      </c>
    </row>
    <row r="2" spans="1:15" ht="14.25" customHeight="1">
      <c r="A2" s="280" t="s">
        <v>304</v>
      </c>
      <c r="B2" s="281" t="s">
        <v>305</v>
      </c>
    </row>
    <row r="3" spans="1:15" ht="14.25" customHeight="1">
      <c r="B3" s="282" t="s">
        <v>306</v>
      </c>
      <c r="C3" s="731">
        <v>2</v>
      </c>
      <c r="D3" s="732"/>
      <c r="E3" s="732"/>
      <c r="F3" s="733"/>
      <c r="G3" s="276"/>
    </row>
    <row r="4" spans="1:15" ht="14.25" customHeight="1">
      <c r="B4" s="283" t="s">
        <v>307</v>
      </c>
      <c r="C4" s="734" t="str">
        <f>①技術体系!D2</f>
        <v>平坦地</v>
      </c>
      <c r="D4" s="735"/>
      <c r="E4" s="735"/>
      <c r="F4" s="730"/>
    </row>
    <row r="5" spans="1:15" ht="14.25" customHeight="1">
      <c r="B5" s="284" t="s">
        <v>308</v>
      </c>
      <c r="C5" s="736" t="str">
        <f>①技術体系!A2</f>
        <v>小麦</v>
      </c>
      <c r="D5" s="735"/>
      <c r="E5" s="735"/>
      <c r="F5" s="730"/>
    </row>
    <row r="6" spans="1:15" ht="14.25" customHeight="1">
      <c r="B6" s="737" t="s">
        <v>309</v>
      </c>
      <c r="C6" s="740" t="str">
        <f>①技術体系!B2&amp;"　、"&amp;①技術体系!C2&amp;"、"&amp;④収入!B3&amp;④収入!C3&amp;④収入!D3</f>
        <v>畦立条播　、せときらら、播種量6kg</v>
      </c>
      <c r="D6" s="741"/>
      <c r="E6" s="741"/>
      <c r="F6" s="742"/>
    </row>
    <row r="7" spans="1:15" ht="14.25" customHeight="1">
      <c r="B7" s="738"/>
      <c r="C7" s="743"/>
      <c r="D7" s="743"/>
      <c r="E7" s="743"/>
      <c r="F7" s="744"/>
    </row>
    <row r="8" spans="1:15" ht="14.25" customHeight="1">
      <c r="B8" s="738"/>
      <c r="C8" s="743"/>
      <c r="D8" s="743"/>
      <c r="E8" s="743"/>
      <c r="F8" s="744"/>
    </row>
    <row r="9" spans="1:15">
      <c r="B9" s="739"/>
      <c r="C9" s="745"/>
      <c r="D9" s="745"/>
      <c r="E9" s="745"/>
      <c r="F9" s="745"/>
    </row>
    <row r="10" spans="1:15" ht="14.25" customHeight="1">
      <c r="B10" s="281" t="s">
        <v>310</v>
      </c>
      <c r="E10" s="281" t="s">
        <v>311</v>
      </c>
      <c r="K10" s="281" t="s">
        <v>312</v>
      </c>
      <c r="M10" s="285"/>
    </row>
    <row r="11" spans="1:15" ht="14.25" customHeight="1">
      <c r="B11" s="282" t="s">
        <v>313</v>
      </c>
      <c r="C11" s="286">
        <f>④収入!B20</f>
        <v>300</v>
      </c>
      <c r="E11" s="282" t="s">
        <v>314</v>
      </c>
      <c r="F11" s="287">
        <f>作業体系表!D31</f>
        <v>0</v>
      </c>
      <c r="H11" s="282" t="s">
        <v>315</v>
      </c>
      <c r="I11" s="287">
        <f>作業体系表!V31</f>
        <v>0</v>
      </c>
      <c r="K11" s="284" t="s">
        <v>316</v>
      </c>
      <c r="L11" s="746" t="s">
        <v>590</v>
      </c>
      <c r="M11" s="730"/>
    </row>
    <row r="12" spans="1:15" ht="14.25" customHeight="1">
      <c r="B12" s="282" t="s">
        <v>317</v>
      </c>
      <c r="C12" s="286">
        <f>④収入!C20</f>
        <v>45.2</v>
      </c>
      <c r="E12" s="282" t="s">
        <v>318</v>
      </c>
      <c r="F12" s="287">
        <f>作業体系表!E31</f>
        <v>0</v>
      </c>
      <c r="H12" s="282" t="s">
        <v>319</v>
      </c>
      <c r="I12" s="287">
        <f>作業体系表!W31</f>
        <v>0</v>
      </c>
      <c r="K12" s="284" t="s">
        <v>320</v>
      </c>
      <c r="L12" s="747" t="s">
        <v>591</v>
      </c>
      <c r="M12" s="730"/>
    </row>
    <row r="13" spans="1:15" ht="14.25" customHeight="1">
      <c r="B13" s="283" t="s">
        <v>321</v>
      </c>
      <c r="C13" s="286">
        <f>④収入!E20+④収入!F20</f>
        <v>59800</v>
      </c>
      <c r="E13" s="282" t="s">
        <v>322</v>
      </c>
      <c r="F13" s="287">
        <f>作業体系表!F31</f>
        <v>0.64620963327859893</v>
      </c>
      <c r="H13" s="282" t="s">
        <v>323</v>
      </c>
      <c r="I13" s="287">
        <f>作業体系表!X31</f>
        <v>0</v>
      </c>
      <c r="K13" s="288" t="s">
        <v>324</v>
      </c>
      <c r="L13" s="289">
        <v>10</v>
      </c>
      <c r="M13" s="290" t="s">
        <v>135</v>
      </c>
    </row>
    <row r="14" spans="1:15" ht="14.25" customHeight="1">
      <c r="B14" s="283" t="s">
        <v>325</v>
      </c>
      <c r="C14" s="291">
        <f>C11*C12+C13</f>
        <v>73360</v>
      </c>
      <c r="E14" s="282" t="s">
        <v>326</v>
      </c>
      <c r="F14" s="287">
        <f>作業体系表!G31</f>
        <v>0.20833333333333331</v>
      </c>
      <c r="H14" s="282" t="s">
        <v>327</v>
      </c>
      <c r="I14" s="287">
        <f>作業体系表!Y31</f>
        <v>0</v>
      </c>
      <c r="K14" s="288" t="s">
        <v>328</v>
      </c>
      <c r="L14" s="289">
        <v>6</v>
      </c>
      <c r="M14" s="290" t="s">
        <v>133</v>
      </c>
    </row>
    <row r="15" spans="1:15" ht="14.25" customHeight="1">
      <c r="B15" s="281" t="s">
        <v>329</v>
      </c>
      <c r="E15" s="282" t="s">
        <v>330</v>
      </c>
      <c r="F15" s="287">
        <f>作業体系表!H31</f>
        <v>0.57870370370370372</v>
      </c>
      <c r="H15" s="282" t="s">
        <v>331</v>
      </c>
      <c r="I15" s="287">
        <f>作業体系表!Z31</f>
        <v>0</v>
      </c>
      <c r="K15" s="283" t="s">
        <v>332</v>
      </c>
      <c r="L15" s="729"/>
      <c r="M15" s="730"/>
    </row>
    <row r="16" spans="1:15" ht="14.25" customHeight="1">
      <c r="B16" s="283" t="s">
        <v>333</v>
      </c>
      <c r="C16" s="286">
        <f>経営収支!E7</f>
        <v>1635</v>
      </c>
      <c r="E16" s="282" t="s">
        <v>334</v>
      </c>
      <c r="F16" s="287">
        <f>作業体系表!I31</f>
        <v>0.20833333333333331</v>
      </c>
      <c r="H16" s="282" t="s">
        <v>335</v>
      </c>
      <c r="I16" s="287">
        <f>作業体系表!AA31</f>
        <v>0</v>
      </c>
      <c r="K16" s="283" t="s">
        <v>336</v>
      </c>
      <c r="L16" s="729"/>
      <c r="M16" s="730"/>
    </row>
    <row r="17" spans="2:13" ht="14.25" customHeight="1">
      <c r="B17" s="283" t="s">
        <v>337</v>
      </c>
      <c r="C17" s="286">
        <f>経営収支!E8</f>
        <v>7056</v>
      </c>
      <c r="E17" s="282" t="s">
        <v>338</v>
      </c>
      <c r="F17" s="287">
        <f>作業体系表!J31</f>
        <v>0.87575259989053111</v>
      </c>
      <c r="H17" s="282" t="s">
        <v>339</v>
      </c>
      <c r="I17" s="287">
        <f>作業体系表!AB31</f>
        <v>0</v>
      </c>
      <c r="K17" s="285"/>
      <c r="L17" s="292"/>
      <c r="M17" s="293"/>
    </row>
    <row r="18" spans="2:13" ht="14.25" customHeight="1">
      <c r="B18" s="283" t="s">
        <v>340</v>
      </c>
      <c r="C18" s="286">
        <f>経営収支!E9</f>
        <v>3478</v>
      </c>
      <c r="E18" s="282" t="s">
        <v>341</v>
      </c>
      <c r="F18" s="287">
        <f>作業体系表!K31</f>
        <v>0.43787629994526556</v>
      </c>
      <c r="H18" s="282" t="s">
        <v>342</v>
      </c>
      <c r="I18" s="287">
        <f>作業体系表!AC31</f>
        <v>0</v>
      </c>
      <c r="K18" s="285"/>
      <c r="L18" s="292"/>
      <c r="M18" s="292"/>
    </row>
    <row r="19" spans="2:13" ht="14.25" customHeight="1">
      <c r="B19" s="283" t="s">
        <v>343</v>
      </c>
      <c r="C19" s="286">
        <f>経営収支!E10</f>
        <v>2731</v>
      </c>
      <c r="E19" s="282" t="s">
        <v>344</v>
      </c>
      <c r="F19" s="287">
        <f>作業体系表!L31</f>
        <v>0</v>
      </c>
      <c r="H19" s="282" t="s">
        <v>345</v>
      </c>
      <c r="I19" s="287">
        <f>作業体系表!AD31</f>
        <v>0</v>
      </c>
      <c r="K19" s="285"/>
      <c r="L19" s="292"/>
      <c r="M19" s="292"/>
    </row>
    <row r="20" spans="2:13" ht="14.25" customHeight="1">
      <c r="B20" s="283" t="s">
        <v>346</v>
      </c>
      <c r="C20" s="286">
        <f>経営収支!E11</f>
        <v>0</v>
      </c>
      <c r="E20" s="282" t="s">
        <v>347</v>
      </c>
      <c r="F20" s="287">
        <f>作業体系表!M31</f>
        <v>0</v>
      </c>
      <c r="H20" s="282" t="s">
        <v>348</v>
      </c>
      <c r="I20" s="287">
        <f>作業体系表!AE31</f>
        <v>0</v>
      </c>
      <c r="K20" s="285"/>
      <c r="L20" s="292"/>
      <c r="M20" s="292"/>
    </row>
    <row r="21" spans="2:13" ht="14.25" customHeight="1">
      <c r="B21" s="283" t="s">
        <v>349</v>
      </c>
      <c r="C21" s="286">
        <f>経営収支!E13</f>
        <v>0</v>
      </c>
      <c r="E21" s="282" t="s">
        <v>350</v>
      </c>
      <c r="F21" s="287">
        <f>作業体系表!N31</f>
        <v>0</v>
      </c>
      <c r="H21" s="282" t="s">
        <v>351</v>
      </c>
      <c r="I21" s="287">
        <f>作業体系表!AF31</f>
        <v>0</v>
      </c>
      <c r="K21" s="285"/>
      <c r="L21" s="292"/>
      <c r="M21" s="292"/>
    </row>
    <row r="22" spans="2:13" ht="14.25" customHeight="1">
      <c r="B22" s="283" t="s">
        <v>352</v>
      </c>
      <c r="C22" s="286">
        <f>経営収支!E14</f>
        <v>7800</v>
      </c>
      <c r="E22" s="282" t="s">
        <v>353</v>
      </c>
      <c r="F22" s="287">
        <f>作業体系表!O31</f>
        <v>0.20525451559934321</v>
      </c>
      <c r="H22" s="282" t="s">
        <v>354</v>
      </c>
      <c r="I22" s="287">
        <f>作業体系表!AG31</f>
        <v>1.6069220438689467</v>
      </c>
      <c r="K22" s="285"/>
      <c r="L22" s="292"/>
      <c r="M22" s="292"/>
    </row>
    <row r="23" spans="2:13" ht="14.25" customHeight="1">
      <c r="B23" s="283" t="s">
        <v>355</v>
      </c>
      <c r="C23" s="286">
        <f>経営収支!E29</f>
        <v>6479.8771999999999</v>
      </c>
      <c r="E23" s="282" t="s">
        <v>356</v>
      </c>
      <c r="F23" s="287">
        <f>作業体系表!P31</f>
        <v>0.20525451559934321</v>
      </c>
      <c r="H23" s="282" t="s">
        <v>357</v>
      </c>
      <c r="I23" s="287">
        <f>作業体系表!AH31</f>
        <v>0</v>
      </c>
      <c r="K23" s="285"/>
      <c r="L23" s="292"/>
      <c r="M23" s="292"/>
    </row>
    <row r="24" spans="2:13" ht="14.25" customHeight="1">
      <c r="B24" s="283" t="s">
        <v>358</v>
      </c>
      <c r="C24" s="286">
        <f>経営収支!E12</f>
        <v>0</v>
      </c>
      <c r="E24" s="282" t="s">
        <v>359</v>
      </c>
      <c r="F24" s="287">
        <f>作業体系表!Q31</f>
        <v>0</v>
      </c>
      <c r="H24" s="282" t="s">
        <v>360</v>
      </c>
      <c r="I24" s="287">
        <f>作業体系表!AI31</f>
        <v>0</v>
      </c>
      <c r="K24" s="285"/>
      <c r="L24" s="292"/>
      <c r="M24" s="292"/>
    </row>
    <row r="25" spans="2:13" ht="14.25" customHeight="1">
      <c r="B25" s="283" t="s">
        <v>325</v>
      </c>
      <c r="C25" s="291">
        <f>SUM(C16:C24)</f>
        <v>29179.877199999999</v>
      </c>
      <c r="E25" s="282" t="s">
        <v>361</v>
      </c>
      <c r="F25" s="287">
        <f>作業体系表!R31</f>
        <v>0</v>
      </c>
      <c r="H25" s="282" t="s">
        <v>362</v>
      </c>
      <c r="I25" s="287">
        <f>作業体系表!AJ31</f>
        <v>1.1973180076628354</v>
      </c>
      <c r="M25" s="292"/>
    </row>
    <row r="26" spans="2:13" ht="14.25" customHeight="1">
      <c r="B26" s="294"/>
      <c r="C26" s="285"/>
      <c r="E26" s="282" t="s">
        <v>363</v>
      </c>
      <c r="F26" s="287">
        <f>作業体系表!S31</f>
        <v>2.2037518037518038</v>
      </c>
      <c r="H26" s="282" t="s">
        <v>364</v>
      </c>
      <c r="I26" s="287">
        <f>作業体系表!AK31</f>
        <v>0</v>
      </c>
      <c r="K26" s="285"/>
      <c r="L26" s="292"/>
      <c r="M26" s="292"/>
    </row>
    <row r="27" spans="2:13" ht="14.25" customHeight="1">
      <c r="B27" s="283" t="s">
        <v>365</v>
      </c>
      <c r="C27" s="295">
        <f>C14-C25</f>
        <v>44180.122799999997</v>
      </c>
      <c r="E27" s="282" t="s">
        <v>366</v>
      </c>
      <c r="F27" s="287">
        <f>作業体系表!T31</f>
        <v>0</v>
      </c>
      <c r="H27" s="282" t="s">
        <v>367</v>
      </c>
      <c r="I27" s="287">
        <f>作業体系表!AL31</f>
        <v>0</v>
      </c>
      <c r="K27" s="296"/>
      <c r="L27" s="297" t="s">
        <v>368</v>
      </c>
      <c r="M27" s="292"/>
    </row>
    <row r="28" spans="2:13">
      <c r="E28" s="282" t="s">
        <v>369</v>
      </c>
      <c r="F28" s="287">
        <f>作業体系表!U31</f>
        <v>0</v>
      </c>
      <c r="H28" s="282" t="s">
        <v>370</v>
      </c>
      <c r="I28" s="287">
        <f>作業体系表!AM31</f>
        <v>0</v>
      </c>
      <c r="K28" s="298"/>
      <c r="L28" s="299">
        <v>1</v>
      </c>
      <c r="M28" s="285"/>
    </row>
  </sheetData>
  <sheetProtection sheet="1" objects="1" scenarios="1"/>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67"/>
  <sheetViews>
    <sheetView workbookViewId="0"/>
  </sheetViews>
  <sheetFormatPr defaultRowHeight="13.5"/>
  <cols>
    <col min="1" max="1" width="38.125" style="659" customWidth="1"/>
    <col min="2" max="2" width="22.875" style="659" bestFit="1" customWidth="1"/>
    <col min="3" max="256" width="9" style="659"/>
    <col min="257" max="257" width="38.125" style="659" customWidth="1"/>
    <col min="258" max="258" width="22.875" style="659" bestFit="1" customWidth="1"/>
    <col min="259" max="512" width="9" style="659"/>
    <col min="513" max="513" width="38.125" style="659" customWidth="1"/>
    <col min="514" max="514" width="22.875" style="659" bestFit="1" customWidth="1"/>
    <col min="515" max="768" width="9" style="659"/>
    <col min="769" max="769" width="38.125" style="659" customWidth="1"/>
    <col min="770" max="770" width="22.875" style="659" bestFit="1" customWidth="1"/>
    <col min="771" max="1024" width="9" style="659"/>
    <col min="1025" max="1025" width="38.125" style="659" customWidth="1"/>
    <col min="1026" max="1026" width="22.875" style="659" bestFit="1" customWidth="1"/>
    <col min="1027" max="1280" width="9" style="659"/>
    <col min="1281" max="1281" width="38.125" style="659" customWidth="1"/>
    <col min="1282" max="1282" width="22.875" style="659" bestFit="1" customWidth="1"/>
    <col min="1283" max="1536" width="9" style="659"/>
    <col min="1537" max="1537" width="38.125" style="659" customWidth="1"/>
    <col min="1538" max="1538" width="22.875" style="659" bestFit="1" customWidth="1"/>
    <col min="1539" max="1792" width="9" style="659"/>
    <col min="1793" max="1793" width="38.125" style="659" customWidth="1"/>
    <col min="1794" max="1794" width="22.875" style="659" bestFit="1" customWidth="1"/>
    <col min="1795" max="2048" width="9" style="659"/>
    <col min="2049" max="2049" width="38.125" style="659" customWidth="1"/>
    <col min="2050" max="2050" width="22.875" style="659" bestFit="1" customWidth="1"/>
    <col min="2051" max="2304" width="9" style="659"/>
    <col min="2305" max="2305" width="38.125" style="659" customWidth="1"/>
    <col min="2306" max="2306" width="22.875" style="659" bestFit="1" customWidth="1"/>
    <col min="2307" max="2560" width="9" style="659"/>
    <col min="2561" max="2561" width="38.125" style="659" customWidth="1"/>
    <col min="2562" max="2562" width="22.875" style="659" bestFit="1" customWidth="1"/>
    <col min="2563" max="2816" width="9" style="659"/>
    <col min="2817" max="2817" width="38.125" style="659" customWidth="1"/>
    <col min="2818" max="2818" width="22.875" style="659" bestFit="1" customWidth="1"/>
    <col min="2819" max="3072" width="9" style="659"/>
    <col min="3073" max="3073" width="38.125" style="659" customWidth="1"/>
    <col min="3074" max="3074" width="22.875" style="659" bestFit="1" customWidth="1"/>
    <col min="3075" max="3328" width="9" style="659"/>
    <col min="3329" max="3329" width="38.125" style="659" customWidth="1"/>
    <col min="3330" max="3330" width="22.875" style="659" bestFit="1" customWidth="1"/>
    <col min="3331" max="3584" width="9" style="659"/>
    <col min="3585" max="3585" width="38.125" style="659" customWidth="1"/>
    <col min="3586" max="3586" width="22.875" style="659" bestFit="1" customWidth="1"/>
    <col min="3587" max="3840" width="9" style="659"/>
    <col min="3841" max="3841" width="38.125" style="659" customWidth="1"/>
    <col min="3842" max="3842" width="22.875" style="659" bestFit="1" customWidth="1"/>
    <col min="3843" max="4096" width="9" style="659"/>
    <col min="4097" max="4097" width="38.125" style="659" customWidth="1"/>
    <col min="4098" max="4098" width="22.875" style="659" bestFit="1" customWidth="1"/>
    <col min="4099" max="4352" width="9" style="659"/>
    <col min="4353" max="4353" width="38.125" style="659" customWidth="1"/>
    <col min="4354" max="4354" width="22.875" style="659" bestFit="1" customWidth="1"/>
    <col min="4355" max="4608" width="9" style="659"/>
    <col min="4609" max="4609" width="38.125" style="659" customWidth="1"/>
    <col min="4610" max="4610" width="22.875" style="659" bestFit="1" customWidth="1"/>
    <col min="4611" max="4864" width="9" style="659"/>
    <col min="4865" max="4865" width="38.125" style="659" customWidth="1"/>
    <col min="4866" max="4866" width="22.875" style="659" bestFit="1" customWidth="1"/>
    <col min="4867" max="5120" width="9" style="659"/>
    <col min="5121" max="5121" width="38.125" style="659" customWidth="1"/>
    <col min="5122" max="5122" width="22.875" style="659" bestFit="1" customWidth="1"/>
    <col min="5123" max="5376" width="9" style="659"/>
    <col min="5377" max="5377" width="38.125" style="659" customWidth="1"/>
    <col min="5378" max="5378" width="22.875" style="659" bestFit="1" customWidth="1"/>
    <col min="5379" max="5632" width="9" style="659"/>
    <col min="5633" max="5633" width="38.125" style="659" customWidth="1"/>
    <col min="5634" max="5634" width="22.875" style="659" bestFit="1" customWidth="1"/>
    <col min="5635" max="5888" width="9" style="659"/>
    <col min="5889" max="5889" width="38.125" style="659" customWidth="1"/>
    <col min="5890" max="5890" width="22.875" style="659" bestFit="1" customWidth="1"/>
    <col min="5891" max="6144" width="9" style="659"/>
    <col min="6145" max="6145" width="38.125" style="659" customWidth="1"/>
    <col min="6146" max="6146" width="22.875" style="659" bestFit="1" customWidth="1"/>
    <col min="6147" max="6400" width="9" style="659"/>
    <col min="6401" max="6401" width="38.125" style="659" customWidth="1"/>
    <col min="6402" max="6402" width="22.875" style="659" bestFit="1" customWidth="1"/>
    <col min="6403" max="6656" width="9" style="659"/>
    <col min="6657" max="6657" width="38.125" style="659" customWidth="1"/>
    <col min="6658" max="6658" width="22.875" style="659" bestFit="1" customWidth="1"/>
    <col min="6659" max="6912" width="9" style="659"/>
    <col min="6913" max="6913" width="38.125" style="659" customWidth="1"/>
    <col min="6914" max="6914" width="22.875" style="659" bestFit="1" customWidth="1"/>
    <col min="6915" max="7168" width="9" style="659"/>
    <col min="7169" max="7169" width="38.125" style="659" customWidth="1"/>
    <col min="7170" max="7170" width="22.875" style="659" bestFit="1" customWidth="1"/>
    <col min="7171" max="7424" width="9" style="659"/>
    <col min="7425" max="7425" width="38.125" style="659" customWidth="1"/>
    <col min="7426" max="7426" width="22.875" style="659" bestFit="1" customWidth="1"/>
    <col min="7427" max="7680" width="9" style="659"/>
    <col min="7681" max="7681" width="38.125" style="659" customWidth="1"/>
    <col min="7682" max="7682" width="22.875" style="659" bestFit="1" customWidth="1"/>
    <col min="7683" max="7936" width="9" style="659"/>
    <col min="7937" max="7937" width="38.125" style="659" customWidth="1"/>
    <col min="7938" max="7938" width="22.875" style="659" bestFit="1" customWidth="1"/>
    <col min="7939" max="8192" width="9" style="659"/>
    <col min="8193" max="8193" width="38.125" style="659" customWidth="1"/>
    <col min="8194" max="8194" width="22.875" style="659" bestFit="1" customWidth="1"/>
    <col min="8195" max="8448" width="9" style="659"/>
    <col min="8449" max="8449" width="38.125" style="659" customWidth="1"/>
    <col min="8450" max="8450" width="22.875" style="659" bestFit="1" customWidth="1"/>
    <col min="8451" max="8704" width="9" style="659"/>
    <col min="8705" max="8705" width="38.125" style="659" customWidth="1"/>
    <col min="8706" max="8706" width="22.875" style="659" bestFit="1" customWidth="1"/>
    <col min="8707" max="8960" width="9" style="659"/>
    <col min="8961" max="8961" width="38.125" style="659" customWidth="1"/>
    <col min="8962" max="8962" width="22.875" style="659" bestFit="1" customWidth="1"/>
    <col min="8963" max="9216" width="9" style="659"/>
    <col min="9217" max="9217" width="38.125" style="659" customWidth="1"/>
    <col min="9218" max="9218" width="22.875" style="659" bestFit="1" customWidth="1"/>
    <col min="9219" max="9472" width="9" style="659"/>
    <col min="9473" max="9473" width="38.125" style="659" customWidth="1"/>
    <col min="9474" max="9474" width="22.875" style="659" bestFit="1" customWidth="1"/>
    <col min="9475" max="9728" width="9" style="659"/>
    <col min="9729" max="9729" width="38.125" style="659" customWidth="1"/>
    <col min="9730" max="9730" width="22.875" style="659" bestFit="1" customWidth="1"/>
    <col min="9731" max="9984" width="9" style="659"/>
    <col min="9985" max="9985" width="38.125" style="659" customWidth="1"/>
    <col min="9986" max="9986" width="22.875" style="659" bestFit="1" customWidth="1"/>
    <col min="9987" max="10240" width="9" style="659"/>
    <col min="10241" max="10241" width="38.125" style="659" customWidth="1"/>
    <col min="10242" max="10242" width="22.875" style="659" bestFit="1" customWidth="1"/>
    <col min="10243" max="10496" width="9" style="659"/>
    <col min="10497" max="10497" width="38.125" style="659" customWidth="1"/>
    <col min="10498" max="10498" width="22.875" style="659" bestFit="1" customWidth="1"/>
    <col min="10499" max="10752" width="9" style="659"/>
    <col min="10753" max="10753" width="38.125" style="659" customWidth="1"/>
    <col min="10754" max="10754" width="22.875" style="659" bestFit="1" customWidth="1"/>
    <col min="10755" max="11008" width="9" style="659"/>
    <col min="11009" max="11009" width="38.125" style="659" customWidth="1"/>
    <col min="11010" max="11010" width="22.875" style="659" bestFit="1" customWidth="1"/>
    <col min="11011" max="11264" width="9" style="659"/>
    <col min="11265" max="11265" width="38.125" style="659" customWidth="1"/>
    <col min="11266" max="11266" width="22.875" style="659" bestFit="1" customWidth="1"/>
    <col min="11267" max="11520" width="9" style="659"/>
    <col min="11521" max="11521" width="38.125" style="659" customWidth="1"/>
    <col min="11522" max="11522" width="22.875" style="659" bestFit="1" customWidth="1"/>
    <col min="11523" max="11776" width="9" style="659"/>
    <col min="11777" max="11777" width="38.125" style="659" customWidth="1"/>
    <col min="11778" max="11778" width="22.875" style="659" bestFit="1" customWidth="1"/>
    <col min="11779" max="12032" width="9" style="659"/>
    <col min="12033" max="12033" width="38.125" style="659" customWidth="1"/>
    <col min="12034" max="12034" width="22.875" style="659" bestFit="1" customWidth="1"/>
    <col min="12035" max="12288" width="9" style="659"/>
    <col min="12289" max="12289" width="38.125" style="659" customWidth="1"/>
    <col min="12290" max="12290" width="22.875" style="659" bestFit="1" customWidth="1"/>
    <col min="12291" max="12544" width="9" style="659"/>
    <col min="12545" max="12545" width="38.125" style="659" customWidth="1"/>
    <col min="12546" max="12546" width="22.875" style="659" bestFit="1" customWidth="1"/>
    <col min="12547" max="12800" width="9" style="659"/>
    <col min="12801" max="12801" width="38.125" style="659" customWidth="1"/>
    <col min="12802" max="12802" width="22.875" style="659" bestFit="1" customWidth="1"/>
    <col min="12803" max="13056" width="9" style="659"/>
    <col min="13057" max="13057" width="38.125" style="659" customWidth="1"/>
    <col min="13058" max="13058" width="22.875" style="659" bestFit="1" customWidth="1"/>
    <col min="13059" max="13312" width="9" style="659"/>
    <col min="13313" max="13313" width="38.125" style="659" customWidth="1"/>
    <col min="13314" max="13314" width="22.875" style="659" bestFit="1" customWidth="1"/>
    <col min="13315" max="13568" width="9" style="659"/>
    <col min="13569" max="13569" width="38.125" style="659" customWidth="1"/>
    <col min="13570" max="13570" width="22.875" style="659" bestFit="1" customWidth="1"/>
    <col min="13571" max="13824" width="9" style="659"/>
    <col min="13825" max="13825" width="38.125" style="659" customWidth="1"/>
    <col min="13826" max="13826" width="22.875" style="659" bestFit="1" customWidth="1"/>
    <col min="13827" max="14080" width="9" style="659"/>
    <col min="14081" max="14081" width="38.125" style="659" customWidth="1"/>
    <col min="14082" max="14082" width="22.875" style="659" bestFit="1" customWidth="1"/>
    <col min="14083" max="14336" width="9" style="659"/>
    <col min="14337" max="14337" width="38.125" style="659" customWidth="1"/>
    <col min="14338" max="14338" width="22.875" style="659" bestFit="1" customWidth="1"/>
    <col min="14339" max="14592" width="9" style="659"/>
    <col min="14593" max="14593" width="38.125" style="659" customWidth="1"/>
    <col min="14594" max="14594" width="22.875" style="659" bestFit="1" customWidth="1"/>
    <col min="14595" max="14848" width="9" style="659"/>
    <col min="14849" max="14849" width="38.125" style="659" customWidth="1"/>
    <col min="14850" max="14850" width="22.875" style="659" bestFit="1" customWidth="1"/>
    <col min="14851" max="15104" width="9" style="659"/>
    <col min="15105" max="15105" width="38.125" style="659" customWidth="1"/>
    <col min="15106" max="15106" width="22.875" style="659" bestFit="1" customWidth="1"/>
    <col min="15107" max="15360" width="9" style="659"/>
    <col min="15361" max="15361" width="38.125" style="659" customWidth="1"/>
    <col min="15362" max="15362" width="22.875" style="659" bestFit="1" customWidth="1"/>
    <col min="15363" max="15616" width="9" style="659"/>
    <col min="15617" max="15617" width="38.125" style="659" customWidth="1"/>
    <col min="15618" max="15618" width="22.875" style="659" bestFit="1" customWidth="1"/>
    <col min="15619" max="15872" width="9" style="659"/>
    <col min="15873" max="15873" width="38.125" style="659" customWidth="1"/>
    <col min="15874" max="15874" width="22.875" style="659" bestFit="1" customWidth="1"/>
    <col min="15875" max="16128" width="9" style="659"/>
    <col min="16129" max="16129" width="38.125" style="659" customWidth="1"/>
    <col min="16130" max="16130" width="22.875" style="659" bestFit="1" customWidth="1"/>
    <col min="16131" max="16384" width="9" style="659"/>
  </cols>
  <sheetData>
    <row r="1" spans="1:5">
      <c r="A1" s="659" t="s">
        <v>616</v>
      </c>
      <c r="B1" s="660" t="s">
        <v>617</v>
      </c>
      <c r="C1" s="660" t="s">
        <v>618</v>
      </c>
      <c r="D1" s="660" t="s">
        <v>619</v>
      </c>
      <c r="E1" s="660" t="s">
        <v>620</v>
      </c>
    </row>
    <row r="2" spans="1:5">
      <c r="A2" s="659" t="s">
        <v>621</v>
      </c>
      <c r="B2" s="660" t="s">
        <v>622</v>
      </c>
      <c r="C2" s="659" t="s">
        <v>55</v>
      </c>
      <c r="D2" s="659">
        <v>7</v>
      </c>
      <c r="E2" s="659">
        <v>175</v>
      </c>
    </row>
    <row r="3" spans="1:5">
      <c r="A3" s="659" t="s">
        <v>623</v>
      </c>
      <c r="B3" s="660" t="s">
        <v>622</v>
      </c>
      <c r="C3" s="659" t="s">
        <v>55</v>
      </c>
      <c r="D3" s="659">
        <v>7</v>
      </c>
      <c r="E3" s="659">
        <v>2494</v>
      </c>
    </row>
    <row r="4" spans="1:5">
      <c r="A4" s="659" t="s">
        <v>624</v>
      </c>
      <c r="B4" s="660" t="s">
        <v>622</v>
      </c>
      <c r="C4" s="659" t="s">
        <v>55</v>
      </c>
      <c r="D4" s="659">
        <v>7</v>
      </c>
      <c r="E4" s="659">
        <v>3777</v>
      </c>
    </row>
    <row r="5" spans="1:5">
      <c r="A5" s="659" t="s">
        <v>625</v>
      </c>
      <c r="B5" s="660" t="s">
        <v>622</v>
      </c>
      <c r="C5" s="659" t="s">
        <v>55</v>
      </c>
      <c r="D5" s="659">
        <v>7</v>
      </c>
      <c r="E5" s="659">
        <v>4330</v>
      </c>
    </row>
    <row r="6" spans="1:5">
      <c r="A6" s="659" t="s">
        <v>626</v>
      </c>
      <c r="B6" s="660" t="s">
        <v>622</v>
      </c>
      <c r="C6" s="659" t="s">
        <v>55</v>
      </c>
      <c r="D6" s="659">
        <v>7</v>
      </c>
      <c r="E6" s="659">
        <v>4631</v>
      </c>
    </row>
    <row r="7" spans="1:5">
      <c r="A7" s="659" t="s">
        <v>627</v>
      </c>
      <c r="B7" s="660" t="s">
        <v>622</v>
      </c>
      <c r="C7" s="659" t="s">
        <v>55</v>
      </c>
      <c r="D7" s="659">
        <v>7</v>
      </c>
      <c r="E7" s="659">
        <v>5587</v>
      </c>
    </row>
    <row r="8" spans="1:5">
      <c r="A8" s="659" t="s">
        <v>628</v>
      </c>
      <c r="B8" s="660" t="s">
        <v>622</v>
      </c>
      <c r="C8" s="659" t="s">
        <v>55</v>
      </c>
      <c r="D8" s="659">
        <v>7</v>
      </c>
      <c r="E8" s="659">
        <v>6441</v>
      </c>
    </row>
    <row r="9" spans="1:5">
      <c r="A9" s="659" t="s">
        <v>629</v>
      </c>
      <c r="B9" s="660" t="s">
        <v>622</v>
      </c>
      <c r="C9" s="659" t="s">
        <v>55</v>
      </c>
      <c r="D9" s="659">
        <v>7</v>
      </c>
      <c r="E9" s="659">
        <v>6128</v>
      </c>
    </row>
    <row r="10" spans="1:5">
      <c r="A10" s="659" t="s">
        <v>630</v>
      </c>
      <c r="B10" s="660" t="s">
        <v>622</v>
      </c>
      <c r="C10" s="659" t="s">
        <v>55</v>
      </c>
      <c r="D10" s="659">
        <v>7</v>
      </c>
      <c r="E10" s="659">
        <v>6666</v>
      </c>
    </row>
    <row r="11" spans="1:5">
      <c r="A11" s="659" t="s">
        <v>631</v>
      </c>
      <c r="B11" s="660" t="s">
        <v>632</v>
      </c>
      <c r="C11" s="659" t="s">
        <v>55</v>
      </c>
      <c r="D11" s="659">
        <v>7</v>
      </c>
      <c r="E11" s="659">
        <v>332</v>
      </c>
    </row>
    <row r="12" spans="1:5">
      <c r="A12" s="659" t="s">
        <v>633</v>
      </c>
      <c r="B12" s="660" t="s">
        <v>632</v>
      </c>
      <c r="C12" s="659" t="s">
        <v>55</v>
      </c>
      <c r="D12" s="659">
        <v>7</v>
      </c>
      <c r="E12" s="659">
        <v>303</v>
      </c>
    </row>
    <row r="13" spans="1:5">
      <c r="A13" s="659" t="s">
        <v>634</v>
      </c>
      <c r="B13" s="660" t="s">
        <v>635</v>
      </c>
      <c r="C13" s="659" t="s">
        <v>55</v>
      </c>
      <c r="D13" s="659">
        <v>7</v>
      </c>
      <c r="E13" s="659">
        <v>837</v>
      </c>
    </row>
    <row r="14" spans="1:5">
      <c r="A14" s="659" t="s">
        <v>636</v>
      </c>
      <c r="B14" s="660" t="s">
        <v>635</v>
      </c>
      <c r="C14" s="659" t="s">
        <v>55</v>
      </c>
      <c r="D14" s="659">
        <v>7</v>
      </c>
      <c r="E14" s="659">
        <v>717</v>
      </c>
    </row>
    <row r="15" spans="1:5">
      <c r="A15" s="659" t="s">
        <v>637</v>
      </c>
      <c r="B15" s="660" t="s">
        <v>635</v>
      </c>
      <c r="C15" s="659" t="s">
        <v>55</v>
      </c>
      <c r="D15" s="659">
        <v>7</v>
      </c>
      <c r="E15" s="659">
        <v>702</v>
      </c>
    </row>
    <row r="16" spans="1:5">
      <c r="A16" s="659" t="s">
        <v>638</v>
      </c>
      <c r="B16" s="659" t="s">
        <v>639</v>
      </c>
      <c r="C16" s="659" t="s">
        <v>55</v>
      </c>
      <c r="D16" s="659">
        <v>7</v>
      </c>
      <c r="E16" s="659">
        <v>243</v>
      </c>
    </row>
    <row r="17" spans="1:5">
      <c r="A17" s="659" t="s">
        <v>640</v>
      </c>
      <c r="B17" s="659" t="s">
        <v>641</v>
      </c>
      <c r="C17" s="659" t="s">
        <v>55</v>
      </c>
      <c r="D17" s="659">
        <v>7</v>
      </c>
      <c r="E17" s="659">
        <v>258</v>
      </c>
    </row>
    <row r="18" spans="1:5">
      <c r="A18" s="659" t="s">
        <v>642</v>
      </c>
      <c r="B18" s="659" t="s">
        <v>641</v>
      </c>
      <c r="C18" s="659" t="s">
        <v>55</v>
      </c>
      <c r="D18" s="659">
        <v>7</v>
      </c>
      <c r="E18" s="659">
        <v>360</v>
      </c>
    </row>
    <row r="19" spans="1:5">
      <c r="A19" s="659" t="s">
        <v>643</v>
      </c>
      <c r="B19" s="659" t="s">
        <v>641</v>
      </c>
      <c r="C19" s="659" t="s">
        <v>55</v>
      </c>
      <c r="D19" s="659">
        <v>7</v>
      </c>
      <c r="E19" s="659">
        <v>2143</v>
      </c>
    </row>
    <row r="20" spans="1:5">
      <c r="A20" s="659" t="s">
        <v>644</v>
      </c>
      <c r="B20" s="659" t="s">
        <v>641</v>
      </c>
      <c r="C20" s="659" t="s">
        <v>55</v>
      </c>
      <c r="D20" s="659">
        <v>7</v>
      </c>
      <c r="E20" s="659">
        <v>886</v>
      </c>
    </row>
    <row r="21" spans="1:5">
      <c r="A21" s="659" t="s">
        <v>645</v>
      </c>
      <c r="B21" s="659" t="s">
        <v>641</v>
      </c>
      <c r="C21" s="659" t="s">
        <v>55</v>
      </c>
      <c r="D21" s="659">
        <v>7</v>
      </c>
      <c r="E21" s="659">
        <v>862</v>
      </c>
    </row>
    <row r="22" spans="1:5">
      <c r="A22" s="659" t="s">
        <v>646</v>
      </c>
      <c r="B22" s="659" t="s">
        <v>641</v>
      </c>
      <c r="C22" s="659" t="s">
        <v>55</v>
      </c>
      <c r="D22" s="659">
        <v>7</v>
      </c>
      <c r="E22" s="659">
        <v>3195</v>
      </c>
    </row>
    <row r="23" spans="1:5">
      <c r="A23" s="659" t="s">
        <v>647</v>
      </c>
      <c r="B23" s="659" t="s">
        <v>648</v>
      </c>
      <c r="C23" s="659" t="s">
        <v>55</v>
      </c>
      <c r="D23" s="659">
        <v>7</v>
      </c>
      <c r="E23" s="659">
        <v>585</v>
      </c>
    </row>
    <row r="24" spans="1:5">
      <c r="A24" s="659" t="s">
        <v>649</v>
      </c>
      <c r="B24" s="659" t="s">
        <v>648</v>
      </c>
      <c r="C24" s="659" t="s">
        <v>55</v>
      </c>
      <c r="D24" s="659">
        <v>7</v>
      </c>
      <c r="E24" s="659">
        <v>126</v>
      </c>
    </row>
    <row r="25" spans="1:5">
      <c r="A25" s="659" t="s">
        <v>650</v>
      </c>
      <c r="B25" s="659" t="s">
        <v>651</v>
      </c>
      <c r="C25" s="659" t="s">
        <v>55</v>
      </c>
      <c r="D25" s="659">
        <v>7</v>
      </c>
      <c r="E25" s="659">
        <v>545</v>
      </c>
    </row>
    <row r="26" spans="1:5">
      <c r="A26" s="659" t="s">
        <v>652</v>
      </c>
      <c r="B26" s="659" t="s">
        <v>651</v>
      </c>
      <c r="C26" s="659" t="s">
        <v>55</v>
      </c>
      <c r="D26" s="659">
        <v>7</v>
      </c>
      <c r="E26" s="659">
        <v>1345</v>
      </c>
    </row>
    <row r="27" spans="1:5">
      <c r="A27" s="659" t="s">
        <v>653</v>
      </c>
      <c r="B27" s="659" t="s">
        <v>651</v>
      </c>
      <c r="C27" s="659" t="s">
        <v>55</v>
      </c>
      <c r="D27" s="659">
        <v>7</v>
      </c>
      <c r="E27" s="659">
        <v>2337</v>
      </c>
    </row>
    <row r="28" spans="1:5">
      <c r="A28" s="659" t="s">
        <v>654</v>
      </c>
      <c r="B28" s="659" t="s">
        <v>651</v>
      </c>
      <c r="C28" s="659" t="s">
        <v>55</v>
      </c>
      <c r="D28" s="659">
        <v>7</v>
      </c>
      <c r="E28" s="659">
        <v>3505</v>
      </c>
    </row>
    <row r="29" spans="1:5">
      <c r="A29" s="659" t="s">
        <v>655</v>
      </c>
      <c r="B29" s="659" t="s">
        <v>656</v>
      </c>
      <c r="C29" s="659" t="s">
        <v>55</v>
      </c>
      <c r="D29" s="659">
        <v>7</v>
      </c>
      <c r="E29" s="659">
        <v>3195</v>
      </c>
    </row>
    <row r="30" spans="1:5">
      <c r="A30" s="659" t="s">
        <v>657</v>
      </c>
      <c r="B30" s="659" t="s">
        <v>656</v>
      </c>
      <c r="C30" s="659" t="s">
        <v>55</v>
      </c>
      <c r="D30" s="659">
        <v>7</v>
      </c>
      <c r="E30" s="659">
        <v>1097</v>
      </c>
    </row>
    <row r="31" spans="1:5">
      <c r="A31" s="659" t="s">
        <v>658</v>
      </c>
      <c r="B31" s="659" t="s">
        <v>659</v>
      </c>
      <c r="C31" s="659" t="s">
        <v>55</v>
      </c>
      <c r="D31" s="659">
        <v>7</v>
      </c>
      <c r="E31" s="659">
        <v>116</v>
      </c>
    </row>
    <row r="32" spans="1:5">
      <c r="A32" s="659" t="s">
        <v>660</v>
      </c>
      <c r="B32" s="659" t="s">
        <v>659</v>
      </c>
      <c r="C32" s="659" t="s">
        <v>55</v>
      </c>
      <c r="D32" s="659">
        <v>7</v>
      </c>
      <c r="E32" s="659">
        <v>855</v>
      </c>
    </row>
    <row r="33" spans="1:5">
      <c r="A33" s="659" t="s">
        <v>661</v>
      </c>
      <c r="B33" s="659" t="s">
        <v>659</v>
      </c>
      <c r="C33" s="659" t="s">
        <v>55</v>
      </c>
      <c r="D33" s="659">
        <v>7</v>
      </c>
      <c r="E33" s="659">
        <v>37</v>
      </c>
    </row>
    <row r="34" spans="1:5">
      <c r="A34" s="659" t="s">
        <v>662</v>
      </c>
      <c r="B34" s="659" t="s">
        <v>659</v>
      </c>
      <c r="C34" s="659" t="s">
        <v>55</v>
      </c>
      <c r="D34" s="659">
        <v>7</v>
      </c>
      <c r="E34" s="659">
        <v>3375</v>
      </c>
    </row>
    <row r="35" spans="1:5">
      <c r="A35" s="659" t="s">
        <v>663</v>
      </c>
      <c r="B35" s="659" t="s">
        <v>659</v>
      </c>
      <c r="C35" s="659" t="s">
        <v>55</v>
      </c>
      <c r="D35" s="659">
        <v>7</v>
      </c>
      <c r="E35" s="659">
        <v>72</v>
      </c>
    </row>
    <row r="36" spans="1:5">
      <c r="A36" s="659" t="s">
        <v>664</v>
      </c>
      <c r="B36" s="659" t="s">
        <v>665</v>
      </c>
      <c r="C36" s="659" t="s">
        <v>55</v>
      </c>
      <c r="D36" s="659">
        <v>7</v>
      </c>
      <c r="E36" s="659">
        <v>562</v>
      </c>
    </row>
    <row r="37" spans="1:5">
      <c r="A37" s="659" t="s">
        <v>666</v>
      </c>
      <c r="B37" s="659" t="s">
        <v>665</v>
      </c>
      <c r="C37" s="659" t="s">
        <v>55</v>
      </c>
      <c r="D37" s="659">
        <v>7</v>
      </c>
      <c r="E37" s="659">
        <v>7335</v>
      </c>
    </row>
    <row r="38" spans="1:5">
      <c r="A38" s="659" t="s">
        <v>667</v>
      </c>
      <c r="B38" s="659" t="s">
        <v>665</v>
      </c>
      <c r="C38" s="659" t="s">
        <v>55</v>
      </c>
      <c r="D38" s="659">
        <v>7</v>
      </c>
      <c r="E38" s="659">
        <v>5850</v>
      </c>
    </row>
    <row r="39" spans="1:5">
      <c r="A39" s="659" t="s">
        <v>668</v>
      </c>
      <c r="B39" s="659" t="s">
        <v>669</v>
      </c>
      <c r="C39" s="659" t="s">
        <v>55</v>
      </c>
      <c r="D39" s="659">
        <v>7</v>
      </c>
      <c r="E39" s="659">
        <v>598</v>
      </c>
    </row>
    <row r="40" spans="1:5">
      <c r="A40" s="659" t="s">
        <v>670</v>
      </c>
      <c r="B40" s="659" t="s">
        <v>669</v>
      </c>
      <c r="C40" s="659" t="s">
        <v>55</v>
      </c>
      <c r="D40" s="659">
        <v>7</v>
      </c>
      <c r="E40" s="659">
        <v>1800</v>
      </c>
    </row>
    <row r="41" spans="1:5">
      <c r="A41" s="659" t="s">
        <v>671</v>
      </c>
      <c r="B41" s="659" t="s">
        <v>669</v>
      </c>
      <c r="C41" s="659" t="s">
        <v>55</v>
      </c>
      <c r="D41" s="659">
        <v>7</v>
      </c>
      <c r="E41" s="659">
        <v>468</v>
      </c>
    </row>
    <row r="42" spans="1:5">
      <c r="A42" s="659" t="s">
        <v>672</v>
      </c>
      <c r="B42" s="659" t="s">
        <v>669</v>
      </c>
      <c r="C42" s="659" t="s">
        <v>55</v>
      </c>
      <c r="D42" s="659">
        <v>7</v>
      </c>
      <c r="E42" s="659">
        <v>132</v>
      </c>
    </row>
    <row r="43" spans="1:5">
      <c r="A43" s="659" t="s">
        <v>673</v>
      </c>
      <c r="B43" s="659" t="s">
        <v>674</v>
      </c>
      <c r="C43" s="659" t="s">
        <v>55</v>
      </c>
      <c r="D43" s="659">
        <v>7</v>
      </c>
      <c r="E43" s="659">
        <v>1174</v>
      </c>
    </row>
    <row r="44" spans="1:5">
      <c r="A44" s="659" t="s">
        <v>675</v>
      </c>
      <c r="B44" s="659" t="s">
        <v>674</v>
      </c>
      <c r="C44" s="659" t="s">
        <v>55</v>
      </c>
      <c r="D44" s="659">
        <v>7</v>
      </c>
      <c r="E44" s="659">
        <v>2583</v>
      </c>
    </row>
    <row r="45" spans="1:5">
      <c r="A45" s="659" t="s">
        <v>676</v>
      </c>
      <c r="B45" s="659" t="s">
        <v>674</v>
      </c>
      <c r="C45" s="659" t="s">
        <v>55</v>
      </c>
      <c r="D45" s="659">
        <v>7</v>
      </c>
      <c r="E45" s="659">
        <v>5850</v>
      </c>
    </row>
    <row r="46" spans="1:5">
      <c r="A46" s="659" t="s">
        <v>677</v>
      </c>
      <c r="B46" s="659" t="s">
        <v>674</v>
      </c>
      <c r="C46" s="659" t="s">
        <v>55</v>
      </c>
      <c r="D46" s="659">
        <v>7</v>
      </c>
      <c r="E46" s="659">
        <v>552</v>
      </c>
    </row>
    <row r="47" spans="1:5">
      <c r="A47" s="659" t="s">
        <v>678</v>
      </c>
      <c r="B47" s="659" t="s">
        <v>674</v>
      </c>
      <c r="C47" s="659" t="s">
        <v>55</v>
      </c>
      <c r="D47" s="659">
        <v>7</v>
      </c>
      <c r="E47" s="659">
        <v>165</v>
      </c>
    </row>
    <row r="48" spans="1:5">
      <c r="A48" s="659" t="s">
        <v>679</v>
      </c>
      <c r="B48" s="659" t="s">
        <v>674</v>
      </c>
      <c r="C48" s="659" t="s">
        <v>55</v>
      </c>
      <c r="D48" s="659">
        <v>7</v>
      </c>
      <c r="E48" s="659">
        <v>882</v>
      </c>
    </row>
    <row r="49" spans="1:5">
      <c r="A49" s="659" t="s">
        <v>680</v>
      </c>
      <c r="B49" s="659" t="s">
        <v>674</v>
      </c>
      <c r="C49" s="659" t="s">
        <v>55</v>
      </c>
      <c r="D49" s="659">
        <v>7</v>
      </c>
      <c r="E49" s="659">
        <v>360</v>
      </c>
    </row>
    <row r="50" spans="1:5">
      <c r="A50" s="659" t="s">
        <v>681</v>
      </c>
      <c r="B50" s="659" t="s">
        <v>674</v>
      </c>
      <c r="C50" s="659" t="s">
        <v>55</v>
      </c>
      <c r="D50" s="659">
        <v>7</v>
      </c>
      <c r="E50" s="659">
        <v>1144</v>
      </c>
    </row>
    <row r="51" spans="1:5">
      <c r="A51" s="659" t="s">
        <v>682</v>
      </c>
      <c r="B51" s="659" t="s">
        <v>674</v>
      </c>
      <c r="C51" s="659" t="s">
        <v>55</v>
      </c>
      <c r="D51" s="659">
        <v>7</v>
      </c>
      <c r="E51" s="659">
        <v>114</v>
      </c>
    </row>
    <row r="52" spans="1:5">
      <c r="A52" s="659" t="s">
        <v>683</v>
      </c>
      <c r="B52" s="659" t="s">
        <v>684</v>
      </c>
      <c r="C52" s="659" t="s">
        <v>55</v>
      </c>
      <c r="D52" s="659">
        <v>7</v>
      </c>
      <c r="E52" s="659">
        <v>206</v>
      </c>
    </row>
    <row r="53" spans="1:5">
      <c r="A53" s="659" t="s">
        <v>685</v>
      </c>
      <c r="B53" s="659" t="s">
        <v>684</v>
      </c>
      <c r="C53" s="659" t="s">
        <v>55</v>
      </c>
      <c r="D53" s="659">
        <v>7</v>
      </c>
      <c r="E53" s="659">
        <v>731</v>
      </c>
    </row>
    <row r="54" spans="1:5">
      <c r="A54" s="659" t="s">
        <v>686</v>
      </c>
      <c r="B54" s="659" t="s">
        <v>684</v>
      </c>
      <c r="C54" s="659" t="s">
        <v>55</v>
      </c>
      <c r="D54" s="659">
        <v>7</v>
      </c>
      <c r="E54" s="659">
        <v>798</v>
      </c>
    </row>
    <row r="55" spans="1:5">
      <c r="A55" s="659" t="s">
        <v>687</v>
      </c>
      <c r="B55" s="659" t="s">
        <v>684</v>
      </c>
      <c r="C55" s="659" t="s">
        <v>55</v>
      </c>
      <c r="D55" s="659">
        <v>7</v>
      </c>
      <c r="E55" s="659">
        <v>1292</v>
      </c>
    </row>
    <row r="56" spans="1:5">
      <c r="A56" s="659" t="s">
        <v>688</v>
      </c>
      <c r="B56" s="659" t="s">
        <v>156</v>
      </c>
      <c r="C56" s="659" t="s">
        <v>55</v>
      </c>
      <c r="D56" s="659">
        <v>7</v>
      </c>
      <c r="E56" s="659">
        <v>321</v>
      </c>
    </row>
    <row r="57" spans="1:5">
      <c r="A57" s="659" t="s">
        <v>689</v>
      </c>
      <c r="B57" s="659" t="s">
        <v>156</v>
      </c>
      <c r="C57" s="659" t="s">
        <v>55</v>
      </c>
      <c r="D57" s="659">
        <v>7</v>
      </c>
      <c r="E57" s="659">
        <v>384</v>
      </c>
    </row>
    <row r="58" spans="1:5">
      <c r="A58" s="659" t="s">
        <v>690</v>
      </c>
      <c r="B58" s="659" t="s">
        <v>156</v>
      </c>
      <c r="C58" s="659" t="s">
        <v>55</v>
      </c>
      <c r="D58" s="659">
        <v>7</v>
      </c>
      <c r="E58" s="659">
        <v>914</v>
      </c>
    </row>
    <row r="59" spans="1:5">
      <c r="A59" s="659" t="s">
        <v>691</v>
      </c>
      <c r="B59" s="659" t="s">
        <v>156</v>
      </c>
      <c r="C59" s="659" t="s">
        <v>55</v>
      </c>
      <c r="D59" s="659">
        <v>7</v>
      </c>
      <c r="E59" s="659">
        <v>34</v>
      </c>
    </row>
    <row r="60" spans="1:5">
      <c r="A60" s="659" t="s">
        <v>692</v>
      </c>
      <c r="B60" s="659" t="s">
        <v>156</v>
      </c>
      <c r="C60" s="659" t="s">
        <v>55</v>
      </c>
      <c r="D60" s="659">
        <v>7</v>
      </c>
      <c r="E60" s="659">
        <v>8577</v>
      </c>
    </row>
    <row r="61" spans="1:5">
      <c r="A61" s="659" t="s">
        <v>693</v>
      </c>
      <c r="C61" s="659" t="s">
        <v>45</v>
      </c>
      <c r="D61" s="659">
        <v>15</v>
      </c>
      <c r="E61" s="659">
        <v>17226</v>
      </c>
    </row>
    <row r="62" spans="1:5">
      <c r="A62" s="659" t="s">
        <v>694</v>
      </c>
      <c r="C62" s="659" t="s">
        <v>45</v>
      </c>
      <c r="D62" s="659">
        <v>15</v>
      </c>
      <c r="E62" s="659">
        <v>17226</v>
      </c>
    </row>
    <row r="63" spans="1:5">
      <c r="A63" s="659" t="s">
        <v>695</v>
      </c>
      <c r="C63" s="659" t="s">
        <v>45</v>
      </c>
      <c r="D63" s="659">
        <v>15</v>
      </c>
      <c r="E63" s="659">
        <v>18711</v>
      </c>
    </row>
    <row r="64" spans="1:5">
      <c r="A64" s="659" t="s">
        <v>696</v>
      </c>
      <c r="C64" s="659" t="s">
        <v>45</v>
      </c>
      <c r="D64" s="659">
        <v>15</v>
      </c>
      <c r="E64" s="659">
        <v>17820</v>
      </c>
    </row>
    <row r="65" spans="1:5">
      <c r="A65" s="659" t="s">
        <v>697</v>
      </c>
      <c r="C65" s="659" t="s">
        <v>45</v>
      </c>
      <c r="D65" s="659">
        <v>15</v>
      </c>
      <c r="E65" s="659">
        <v>24948</v>
      </c>
    </row>
    <row r="66" spans="1:5">
      <c r="A66" s="659" t="s">
        <v>698</v>
      </c>
      <c r="C66" s="659" t="s">
        <v>45</v>
      </c>
      <c r="D66" s="659">
        <v>15</v>
      </c>
      <c r="E66" s="659">
        <v>4752</v>
      </c>
    </row>
    <row r="67" spans="1:5">
      <c r="A67" s="659" t="s">
        <v>699</v>
      </c>
      <c r="C67" s="659" t="s">
        <v>45</v>
      </c>
      <c r="D67" s="659">
        <v>15</v>
      </c>
      <c r="E67" s="659">
        <v>15147</v>
      </c>
    </row>
  </sheetData>
  <phoneticPr fontId="14"/>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07"/>
  <sheetViews>
    <sheetView showGridLines="0" workbookViewId="0">
      <pane ySplit="5" topLeftCell="A6" activePane="bottomLeft" state="frozen"/>
      <selection activeCell="I22" sqref="I22"/>
      <selection pane="bottomLeft" activeCell="E2" sqref="E2"/>
    </sheetView>
  </sheetViews>
  <sheetFormatPr defaultRowHeight="13.5" zeroHeight="1"/>
  <cols>
    <col min="1" max="1" width="13.5" style="89" bestFit="1" customWidth="1"/>
    <col min="2" max="2" width="32.375" style="89" customWidth="1"/>
    <col min="3" max="3" width="14.125" style="89" bestFit="1" customWidth="1"/>
    <col min="4" max="4" width="39" style="89" bestFit="1" customWidth="1"/>
    <col min="5" max="5" width="25.875" style="89" bestFit="1" customWidth="1"/>
    <col min="6" max="6" width="3.125" style="88" customWidth="1"/>
    <col min="7" max="24" width="9" style="88"/>
    <col min="25" max="16384" width="9" style="89"/>
  </cols>
  <sheetData>
    <row r="1" spans="1:24" s="86" customFormat="1">
      <c r="A1" s="84" t="s">
        <v>0</v>
      </c>
      <c r="B1" s="84" t="s">
        <v>275</v>
      </c>
      <c r="C1" s="84" t="s">
        <v>1</v>
      </c>
      <c r="D1" s="84" t="s">
        <v>2</v>
      </c>
      <c r="E1" s="323" t="s">
        <v>398</v>
      </c>
      <c r="F1" s="85"/>
      <c r="G1" s="85"/>
      <c r="H1" s="85"/>
      <c r="I1" s="85"/>
      <c r="J1" s="85"/>
      <c r="K1" s="85"/>
      <c r="L1" s="85"/>
      <c r="M1" s="85"/>
      <c r="N1" s="85"/>
      <c r="O1" s="85"/>
      <c r="P1" s="85"/>
      <c r="Q1" s="85"/>
      <c r="R1" s="85"/>
      <c r="S1" s="85"/>
      <c r="T1" s="85"/>
      <c r="U1" s="85"/>
      <c r="V1" s="85"/>
      <c r="W1" s="85"/>
      <c r="X1" s="85"/>
    </row>
    <row r="2" spans="1:24">
      <c r="A2" s="415" t="s">
        <v>486</v>
      </c>
      <c r="B2" s="87" t="s">
        <v>487</v>
      </c>
      <c r="C2" s="269" t="s">
        <v>488</v>
      </c>
      <c r="D2" s="376" t="s">
        <v>489</v>
      </c>
      <c r="E2" s="377">
        <v>10.5</v>
      </c>
    </row>
    <row r="3" spans="1:24" ht="9.75" customHeight="1">
      <c r="A3" s="416"/>
      <c r="B3" s="416"/>
      <c r="C3" s="416"/>
      <c r="D3" s="416"/>
      <c r="E3" s="416"/>
    </row>
    <row r="4" spans="1:24">
      <c r="A4" s="416" t="s">
        <v>3</v>
      </c>
      <c r="B4" s="416"/>
      <c r="C4" s="416"/>
      <c r="D4" s="416"/>
      <c r="E4" s="416"/>
    </row>
    <row r="5" spans="1:24" ht="21.95" customHeight="1">
      <c r="A5" s="90" t="s">
        <v>4</v>
      </c>
      <c r="B5" s="84" t="s">
        <v>5</v>
      </c>
      <c r="C5" s="84" t="s">
        <v>6</v>
      </c>
      <c r="D5" s="91" t="s">
        <v>7</v>
      </c>
      <c r="E5" s="84" t="s">
        <v>8</v>
      </c>
    </row>
    <row r="6" spans="1:24" ht="24" customHeight="1">
      <c r="A6" s="473" t="s">
        <v>442</v>
      </c>
      <c r="B6" s="368" t="s">
        <v>443</v>
      </c>
      <c r="C6" s="368" t="s">
        <v>444</v>
      </c>
      <c r="D6" s="369" t="s">
        <v>445</v>
      </c>
      <c r="E6" s="370" t="s">
        <v>446</v>
      </c>
    </row>
    <row r="7" spans="1:24" ht="24" customHeight="1">
      <c r="A7" s="373" t="s">
        <v>447</v>
      </c>
      <c r="B7" s="371" t="s">
        <v>448</v>
      </c>
      <c r="C7" s="371" t="s">
        <v>444</v>
      </c>
      <c r="D7" s="372" t="s">
        <v>449</v>
      </c>
      <c r="E7" s="371"/>
    </row>
    <row r="8" spans="1:24" ht="24" customHeight="1">
      <c r="A8" s="373" t="s">
        <v>450</v>
      </c>
      <c r="B8" s="371" t="s">
        <v>451</v>
      </c>
      <c r="C8" s="371" t="s">
        <v>452</v>
      </c>
      <c r="D8" s="372" t="s">
        <v>453</v>
      </c>
      <c r="E8" s="371"/>
    </row>
    <row r="9" spans="1:24" ht="24" customHeight="1">
      <c r="A9" s="373" t="s">
        <v>454</v>
      </c>
      <c r="B9" s="371"/>
      <c r="C9" s="371" t="s">
        <v>455</v>
      </c>
      <c r="D9" s="372" t="s">
        <v>456</v>
      </c>
      <c r="E9" s="371"/>
    </row>
    <row r="10" spans="1:24" ht="24" customHeight="1">
      <c r="A10" s="373" t="s">
        <v>457</v>
      </c>
      <c r="B10" s="371" t="s">
        <v>458</v>
      </c>
      <c r="C10" s="371" t="s">
        <v>459</v>
      </c>
      <c r="D10" s="372" t="s">
        <v>456</v>
      </c>
      <c r="E10" s="371" t="s">
        <v>460</v>
      </c>
    </row>
    <row r="11" spans="1:24" ht="24" customHeight="1">
      <c r="A11" s="373" t="s">
        <v>461</v>
      </c>
      <c r="B11" s="371" t="s">
        <v>462</v>
      </c>
      <c r="C11" s="371" t="s">
        <v>463</v>
      </c>
      <c r="D11" s="372" t="s">
        <v>464</v>
      </c>
      <c r="E11" s="371"/>
    </row>
    <row r="12" spans="1:24" ht="24" customHeight="1">
      <c r="A12" s="373" t="s">
        <v>465</v>
      </c>
      <c r="B12" s="371" t="s">
        <v>466</v>
      </c>
      <c r="C12" s="371" t="s">
        <v>467</v>
      </c>
      <c r="D12" s="372" t="s">
        <v>468</v>
      </c>
      <c r="E12" s="371"/>
    </row>
    <row r="13" spans="1:24" ht="24" customHeight="1">
      <c r="A13" s="373" t="s">
        <v>469</v>
      </c>
      <c r="B13" s="371" t="s">
        <v>470</v>
      </c>
      <c r="C13" s="371" t="s">
        <v>471</v>
      </c>
      <c r="D13" s="372" t="s">
        <v>472</v>
      </c>
      <c r="E13" s="371"/>
    </row>
    <row r="14" spans="1:24" ht="24" customHeight="1">
      <c r="A14" s="373" t="s">
        <v>473</v>
      </c>
      <c r="B14" s="371" t="s">
        <v>474</v>
      </c>
      <c r="C14" s="371" t="s">
        <v>475</v>
      </c>
      <c r="D14" s="372" t="s">
        <v>476</v>
      </c>
      <c r="E14" s="371"/>
    </row>
    <row r="15" spans="1:24" ht="24" customHeight="1">
      <c r="A15" s="373" t="s">
        <v>284</v>
      </c>
      <c r="B15" s="371" t="s">
        <v>477</v>
      </c>
      <c r="C15" s="371" t="s">
        <v>478</v>
      </c>
      <c r="D15" s="372" t="s">
        <v>479</v>
      </c>
      <c r="E15" s="371"/>
    </row>
    <row r="16" spans="1:24" ht="24" customHeight="1">
      <c r="A16" s="373" t="s">
        <v>480</v>
      </c>
      <c r="B16" s="371"/>
      <c r="C16" s="371" t="s">
        <v>478</v>
      </c>
      <c r="D16" s="372" t="s">
        <v>481</v>
      </c>
      <c r="E16" s="371"/>
    </row>
    <row r="17" spans="1:5" ht="24" customHeight="1">
      <c r="A17" s="373" t="s">
        <v>482</v>
      </c>
      <c r="B17" s="371" t="s">
        <v>483</v>
      </c>
      <c r="C17" s="371" t="s">
        <v>484</v>
      </c>
      <c r="D17" s="372" t="s">
        <v>485</v>
      </c>
      <c r="E17" s="371"/>
    </row>
    <row r="18" spans="1:5" ht="24" customHeight="1">
      <c r="A18" s="373"/>
      <c r="B18" s="371"/>
      <c r="C18" s="371"/>
      <c r="D18" s="372"/>
      <c r="E18" s="371"/>
    </row>
    <row r="19" spans="1:5" ht="24" customHeight="1">
      <c r="A19" s="373"/>
      <c r="B19" s="371"/>
      <c r="C19" s="371"/>
      <c r="D19" s="372"/>
      <c r="E19" s="371"/>
    </row>
    <row r="20" spans="1:5" ht="24" customHeight="1">
      <c r="A20" s="373"/>
      <c r="B20" s="371"/>
      <c r="C20" s="371"/>
      <c r="D20" s="372"/>
      <c r="E20" s="371"/>
    </row>
    <row r="21" spans="1:5" ht="24" customHeight="1">
      <c r="A21" s="373"/>
      <c r="B21" s="371"/>
      <c r="C21" s="371"/>
      <c r="D21" s="372"/>
      <c r="E21" s="371"/>
    </row>
    <row r="22" spans="1:5" ht="24" customHeight="1">
      <c r="A22" s="373"/>
      <c r="B22" s="371"/>
      <c r="C22" s="371"/>
      <c r="D22" s="372"/>
      <c r="E22" s="371"/>
    </row>
    <row r="23" spans="1:5" ht="24" customHeight="1">
      <c r="A23" s="373"/>
      <c r="B23" s="371"/>
      <c r="C23" s="371"/>
      <c r="D23" s="372"/>
      <c r="E23" s="371"/>
    </row>
    <row r="24" spans="1:5" ht="24" customHeight="1">
      <c r="A24" s="374"/>
      <c r="B24" s="374"/>
      <c r="C24" s="374"/>
      <c r="D24" s="374"/>
      <c r="E24" s="374"/>
    </row>
    <row r="25" spans="1:5" ht="24" customHeight="1">
      <c r="A25" s="375"/>
      <c r="B25" s="375"/>
      <c r="C25" s="375"/>
      <c r="D25" s="375"/>
      <c r="E25" s="375"/>
    </row>
    <row r="26" spans="1:5">
      <c r="A26" s="88"/>
      <c r="B26" s="88"/>
      <c r="C26" s="88"/>
      <c r="D26" s="88"/>
      <c r="E26" s="88"/>
    </row>
    <row r="27" spans="1:5">
      <c r="A27" s="88"/>
      <c r="B27" s="88"/>
      <c r="C27" s="88"/>
      <c r="D27" s="88"/>
      <c r="E27" s="88"/>
    </row>
    <row r="28" spans="1:5">
      <c r="A28" s="88"/>
      <c r="B28" s="88"/>
      <c r="C28" s="88"/>
      <c r="D28" s="88"/>
      <c r="E28" s="88"/>
    </row>
    <row r="29" spans="1:5">
      <c r="A29" s="88"/>
      <c r="B29" s="88"/>
      <c r="C29" s="88"/>
      <c r="D29" s="88"/>
      <c r="E29" s="88"/>
    </row>
    <row r="30" spans="1:5">
      <c r="A30" s="88"/>
      <c r="B30" s="88"/>
      <c r="C30" s="88"/>
      <c r="D30" s="88"/>
      <c r="E30" s="88"/>
    </row>
    <row r="31" spans="1:5">
      <c r="A31" s="88"/>
      <c r="B31" s="88"/>
      <c r="C31" s="88"/>
      <c r="D31" s="88"/>
      <c r="E31" s="88"/>
    </row>
    <row r="32" spans="1:5">
      <c r="A32" s="88"/>
      <c r="B32" s="88"/>
      <c r="C32" s="88"/>
      <c r="D32" s="88"/>
      <c r="E32" s="88"/>
    </row>
    <row r="33" spans="1:5">
      <c r="A33" s="88"/>
      <c r="B33" s="88"/>
      <c r="C33" s="88"/>
      <c r="D33" s="88"/>
      <c r="E33" s="88"/>
    </row>
    <row r="34" spans="1:5">
      <c r="A34" s="88"/>
      <c r="B34" s="88"/>
      <c r="C34" s="88"/>
      <c r="D34" s="88"/>
      <c r="E34" s="88"/>
    </row>
    <row r="35" spans="1:5">
      <c r="A35" s="88"/>
      <c r="B35" s="88"/>
      <c r="C35" s="88"/>
      <c r="D35" s="88"/>
      <c r="E35" s="88"/>
    </row>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sheet="1" objects="1" scenarios="1" selectLockedCells="1"/>
  <phoneticPr fontId="14"/>
  <printOptions horizontalCentered="1"/>
  <pageMargins left="0.78740157480314965" right="0.78740157480314965" top="1.1811023622047245" bottom="0.39370078740157483" header="0.59055118110236227" footer="0.51181102362204722"/>
  <pageSetup paperSize="9" scale="85" firstPageNumber="0" orientation="landscape" cellComments="asDisplayed" horizontalDpi="4294967293" verticalDpi="300" r:id="rId1"/>
  <headerFooter alignWithMargins="0">
    <oddHeader>&amp;L小麦「せときらら」11月下旬播種（平坦地）</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58"/>
  <sheetViews>
    <sheetView workbookViewId="0"/>
  </sheetViews>
  <sheetFormatPr defaultRowHeight="13.5"/>
  <cols>
    <col min="1" max="1" width="12.875" style="662" bestFit="1" customWidth="1"/>
    <col min="2" max="2" width="6.625" style="662" bestFit="1" customWidth="1"/>
    <col min="3" max="3" width="16.5" style="662" bestFit="1" customWidth="1"/>
    <col min="4" max="256" width="9" style="659"/>
    <col min="257" max="257" width="12.875" style="659" bestFit="1" customWidth="1"/>
    <col min="258" max="258" width="6.625" style="659" bestFit="1" customWidth="1"/>
    <col min="259" max="259" width="16.5" style="659" bestFit="1" customWidth="1"/>
    <col min="260" max="512" width="9" style="659"/>
    <col min="513" max="513" width="12.875" style="659" bestFit="1" customWidth="1"/>
    <col min="514" max="514" width="6.625" style="659" bestFit="1" customWidth="1"/>
    <col min="515" max="515" width="16.5" style="659" bestFit="1" customWidth="1"/>
    <col min="516" max="768" width="9" style="659"/>
    <col min="769" max="769" width="12.875" style="659" bestFit="1" customWidth="1"/>
    <col min="770" max="770" width="6.625" style="659" bestFit="1" customWidth="1"/>
    <col min="771" max="771" width="16.5" style="659" bestFit="1" customWidth="1"/>
    <col min="772" max="1024" width="9" style="659"/>
    <col min="1025" max="1025" width="12.875" style="659" bestFit="1" customWidth="1"/>
    <col min="1026" max="1026" width="6.625" style="659" bestFit="1" customWidth="1"/>
    <col min="1027" max="1027" width="16.5" style="659" bestFit="1" customWidth="1"/>
    <col min="1028" max="1280" width="9" style="659"/>
    <col min="1281" max="1281" width="12.875" style="659" bestFit="1" customWidth="1"/>
    <col min="1282" max="1282" width="6.625" style="659" bestFit="1" customWidth="1"/>
    <col min="1283" max="1283" width="16.5" style="659" bestFit="1" customWidth="1"/>
    <col min="1284" max="1536" width="9" style="659"/>
    <col min="1537" max="1537" width="12.875" style="659" bestFit="1" customWidth="1"/>
    <col min="1538" max="1538" width="6.625" style="659" bestFit="1" customWidth="1"/>
    <col min="1539" max="1539" width="16.5" style="659" bestFit="1" customWidth="1"/>
    <col min="1540" max="1792" width="9" style="659"/>
    <col min="1793" max="1793" width="12.875" style="659" bestFit="1" customWidth="1"/>
    <col min="1794" max="1794" width="6.625" style="659" bestFit="1" customWidth="1"/>
    <col min="1795" max="1795" width="16.5" style="659" bestFit="1" customWidth="1"/>
    <col min="1796" max="2048" width="9" style="659"/>
    <col min="2049" max="2049" width="12.875" style="659" bestFit="1" customWidth="1"/>
    <col min="2050" max="2050" width="6.625" style="659" bestFit="1" customWidth="1"/>
    <col min="2051" max="2051" width="16.5" style="659" bestFit="1" customWidth="1"/>
    <col min="2052" max="2304" width="9" style="659"/>
    <col min="2305" max="2305" width="12.875" style="659" bestFit="1" customWidth="1"/>
    <col min="2306" max="2306" width="6.625" style="659" bestFit="1" customWidth="1"/>
    <col min="2307" max="2307" width="16.5" style="659" bestFit="1" customWidth="1"/>
    <col min="2308" max="2560" width="9" style="659"/>
    <col min="2561" max="2561" width="12.875" style="659" bestFit="1" customWidth="1"/>
    <col min="2562" max="2562" width="6.625" style="659" bestFit="1" customWidth="1"/>
    <col min="2563" max="2563" width="16.5" style="659" bestFit="1" customWidth="1"/>
    <col min="2564" max="2816" width="9" style="659"/>
    <col min="2817" max="2817" width="12.875" style="659" bestFit="1" customWidth="1"/>
    <col min="2818" max="2818" width="6.625" style="659" bestFit="1" customWidth="1"/>
    <col min="2819" max="2819" width="16.5" style="659" bestFit="1" customWidth="1"/>
    <col min="2820" max="3072" width="9" style="659"/>
    <col min="3073" max="3073" width="12.875" style="659" bestFit="1" customWidth="1"/>
    <col min="3074" max="3074" width="6.625" style="659" bestFit="1" customWidth="1"/>
    <col min="3075" max="3075" width="16.5" style="659" bestFit="1" customWidth="1"/>
    <col min="3076" max="3328" width="9" style="659"/>
    <col min="3329" max="3329" width="12.875" style="659" bestFit="1" customWidth="1"/>
    <col min="3330" max="3330" width="6.625" style="659" bestFit="1" customWidth="1"/>
    <col min="3331" max="3331" width="16.5" style="659" bestFit="1" customWidth="1"/>
    <col min="3332" max="3584" width="9" style="659"/>
    <col min="3585" max="3585" width="12.875" style="659" bestFit="1" customWidth="1"/>
    <col min="3586" max="3586" width="6.625" style="659" bestFit="1" customWidth="1"/>
    <col min="3587" max="3587" width="16.5" style="659" bestFit="1" customWidth="1"/>
    <col min="3588" max="3840" width="9" style="659"/>
    <col min="3841" max="3841" width="12.875" style="659" bestFit="1" customWidth="1"/>
    <col min="3842" max="3842" width="6.625" style="659" bestFit="1" customWidth="1"/>
    <col min="3843" max="3843" width="16.5" style="659" bestFit="1" customWidth="1"/>
    <col min="3844" max="4096" width="9" style="659"/>
    <col min="4097" max="4097" width="12.875" style="659" bestFit="1" customWidth="1"/>
    <col min="4098" max="4098" width="6.625" style="659" bestFit="1" customWidth="1"/>
    <col min="4099" max="4099" width="16.5" style="659" bestFit="1" customWidth="1"/>
    <col min="4100" max="4352" width="9" style="659"/>
    <col min="4353" max="4353" width="12.875" style="659" bestFit="1" customWidth="1"/>
    <col min="4354" max="4354" width="6.625" style="659" bestFit="1" customWidth="1"/>
    <col min="4355" max="4355" width="16.5" style="659" bestFit="1" customWidth="1"/>
    <col min="4356" max="4608" width="9" style="659"/>
    <col min="4609" max="4609" width="12.875" style="659" bestFit="1" customWidth="1"/>
    <col min="4610" max="4610" width="6.625" style="659" bestFit="1" customWidth="1"/>
    <col min="4611" max="4611" width="16.5" style="659" bestFit="1" customWidth="1"/>
    <col min="4612" max="4864" width="9" style="659"/>
    <col min="4865" max="4865" width="12.875" style="659" bestFit="1" customWidth="1"/>
    <col min="4866" max="4866" width="6.625" style="659" bestFit="1" customWidth="1"/>
    <col min="4867" max="4867" width="16.5" style="659" bestFit="1" customWidth="1"/>
    <col min="4868" max="5120" width="9" style="659"/>
    <col min="5121" max="5121" width="12.875" style="659" bestFit="1" customWidth="1"/>
    <col min="5122" max="5122" width="6.625" style="659" bestFit="1" customWidth="1"/>
    <col min="5123" max="5123" width="16.5" style="659" bestFit="1" customWidth="1"/>
    <col min="5124" max="5376" width="9" style="659"/>
    <col min="5377" max="5377" width="12.875" style="659" bestFit="1" customWidth="1"/>
    <col min="5378" max="5378" width="6.625" style="659" bestFit="1" customWidth="1"/>
    <col min="5379" max="5379" width="16.5" style="659" bestFit="1" customWidth="1"/>
    <col min="5380" max="5632" width="9" style="659"/>
    <col min="5633" max="5633" width="12.875" style="659" bestFit="1" customWidth="1"/>
    <col min="5634" max="5634" width="6.625" style="659" bestFit="1" customWidth="1"/>
    <col min="5635" max="5635" width="16.5" style="659" bestFit="1" customWidth="1"/>
    <col min="5636" max="5888" width="9" style="659"/>
    <col min="5889" max="5889" width="12.875" style="659" bestFit="1" customWidth="1"/>
    <col min="5890" max="5890" width="6.625" style="659" bestFit="1" customWidth="1"/>
    <col min="5891" max="5891" width="16.5" style="659" bestFit="1" customWidth="1"/>
    <col min="5892" max="6144" width="9" style="659"/>
    <col min="6145" max="6145" width="12.875" style="659" bestFit="1" customWidth="1"/>
    <col min="6146" max="6146" width="6.625" style="659" bestFit="1" customWidth="1"/>
    <col min="6147" max="6147" width="16.5" style="659" bestFit="1" customWidth="1"/>
    <col min="6148" max="6400" width="9" style="659"/>
    <col min="6401" max="6401" width="12.875" style="659" bestFit="1" customWidth="1"/>
    <col min="6402" max="6402" width="6.625" style="659" bestFit="1" customWidth="1"/>
    <col min="6403" max="6403" width="16.5" style="659" bestFit="1" customWidth="1"/>
    <col min="6404" max="6656" width="9" style="659"/>
    <col min="6657" max="6657" width="12.875" style="659" bestFit="1" customWidth="1"/>
    <col min="6658" max="6658" width="6.625" style="659" bestFit="1" customWidth="1"/>
    <col min="6659" max="6659" width="16.5" style="659" bestFit="1" customWidth="1"/>
    <col min="6660" max="6912" width="9" style="659"/>
    <col min="6913" max="6913" width="12.875" style="659" bestFit="1" customWidth="1"/>
    <col min="6914" max="6914" width="6.625" style="659" bestFit="1" customWidth="1"/>
    <col min="6915" max="6915" width="16.5" style="659" bestFit="1" customWidth="1"/>
    <col min="6916" max="7168" width="9" style="659"/>
    <col min="7169" max="7169" width="12.875" style="659" bestFit="1" customWidth="1"/>
    <col min="7170" max="7170" width="6.625" style="659" bestFit="1" customWidth="1"/>
    <col min="7171" max="7171" width="16.5" style="659" bestFit="1" customWidth="1"/>
    <col min="7172" max="7424" width="9" style="659"/>
    <col min="7425" max="7425" width="12.875" style="659" bestFit="1" customWidth="1"/>
    <col min="7426" max="7426" width="6.625" style="659" bestFit="1" customWidth="1"/>
    <col min="7427" max="7427" width="16.5" style="659" bestFit="1" customWidth="1"/>
    <col min="7428" max="7680" width="9" style="659"/>
    <col min="7681" max="7681" width="12.875" style="659" bestFit="1" customWidth="1"/>
    <col min="7682" max="7682" width="6.625" style="659" bestFit="1" customWidth="1"/>
    <col min="7683" max="7683" width="16.5" style="659" bestFit="1" customWidth="1"/>
    <col min="7684" max="7936" width="9" style="659"/>
    <col min="7937" max="7937" width="12.875" style="659" bestFit="1" customWidth="1"/>
    <col min="7938" max="7938" width="6.625" style="659" bestFit="1" customWidth="1"/>
    <col min="7939" max="7939" width="16.5" style="659" bestFit="1" customWidth="1"/>
    <col min="7940" max="8192" width="9" style="659"/>
    <col min="8193" max="8193" width="12.875" style="659" bestFit="1" customWidth="1"/>
    <col min="8194" max="8194" width="6.625" style="659" bestFit="1" customWidth="1"/>
    <col min="8195" max="8195" width="16.5" style="659" bestFit="1" customWidth="1"/>
    <col min="8196" max="8448" width="9" style="659"/>
    <col min="8449" max="8449" width="12.875" style="659" bestFit="1" customWidth="1"/>
    <col min="8450" max="8450" width="6.625" style="659" bestFit="1" customWidth="1"/>
    <col min="8451" max="8451" width="16.5" style="659" bestFit="1" customWidth="1"/>
    <col min="8452" max="8704" width="9" style="659"/>
    <col min="8705" max="8705" width="12.875" style="659" bestFit="1" customWidth="1"/>
    <col min="8706" max="8706" width="6.625" style="659" bestFit="1" customWidth="1"/>
    <col min="8707" max="8707" width="16.5" style="659" bestFit="1" customWidth="1"/>
    <col min="8708" max="8960" width="9" style="659"/>
    <col min="8961" max="8961" width="12.875" style="659" bestFit="1" customWidth="1"/>
    <col min="8962" max="8962" width="6.625" style="659" bestFit="1" customWidth="1"/>
    <col min="8963" max="8963" width="16.5" style="659" bestFit="1" customWidth="1"/>
    <col min="8964" max="9216" width="9" style="659"/>
    <col min="9217" max="9217" width="12.875" style="659" bestFit="1" customWidth="1"/>
    <col min="9218" max="9218" width="6.625" style="659" bestFit="1" customWidth="1"/>
    <col min="9219" max="9219" width="16.5" style="659" bestFit="1" customWidth="1"/>
    <col min="9220" max="9472" width="9" style="659"/>
    <col min="9473" max="9473" width="12.875" style="659" bestFit="1" customWidth="1"/>
    <col min="9474" max="9474" width="6.625" style="659" bestFit="1" customWidth="1"/>
    <col min="9475" max="9475" width="16.5" style="659" bestFit="1" customWidth="1"/>
    <col min="9476" max="9728" width="9" style="659"/>
    <col min="9729" max="9729" width="12.875" style="659" bestFit="1" customWidth="1"/>
    <col min="9730" max="9730" width="6.625" style="659" bestFit="1" customWidth="1"/>
    <col min="9731" max="9731" width="16.5" style="659" bestFit="1" customWidth="1"/>
    <col min="9732" max="9984" width="9" style="659"/>
    <col min="9985" max="9985" width="12.875" style="659" bestFit="1" customWidth="1"/>
    <col min="9986" max="9986" width="6.625" style="659" bestFit="1" customWidth="1"/>
    <col min="9987" max="9987" width="16.5" style="659" bestFit="1" customWidth="1"/>
    <col min="9988" max="10240" width="9" style="659"/>
    <col min="10241" max="10241" width="12.875" style="659" bestFit="1" customWidth="1"/>
    <col min="10242" max="10242" width="6.625" style="659" bestFit="1" customWidth="1"/>
    <col min="10243" max="10243" width="16.5" style="659" bestFit="1" customWidth="1"/>
    <col min="10244" max="10496" width="9" style="659"/>
    <col min="10497" max="10497" width="12.875" style="659" bestFit="1" customWidth="1"/>
    <col min="10498" max="10498" width="6.625" style="659" bestFit="1" customWidth="1"/>
    <col min="10499" max="10499" width="16.5" style="659" bestFit="1" customWidth="1"/>
    <col min="10500" max="10752" width="9" style="659"/>
    <col min="10753" max="10753" width="12.875" style="659" bestFit="1" customWidth="1"/>
    <col min="10754" max="10754" width="6.625" style="659" bestFit="1" customWidth="1"/>
    <col min="10755" max="10755" width="16.5" style="659" bestFit="1" customWidth="1"/>
    <col min="10756" max="11008" width="9" style="659"/>
    <col min="11009" max="11009" width="12.875" style="659" bestFit="1" customWidth="1"/>
    <col min="11010" max="11010" width="6.625" style="659" bestFit="1" customWidth="1"/>
    <col min="11011" max="11011" width="16.5" style="659" bestFit="1" customWidth="1"/>
    <col min="11012" max="11264" width="9" style="659"/>
    <col min="11265" max="11265" width="12.875" style="659" bestFit="1" customWidth="1"/>
    <col min="11266" max="11266" width="6.625" style="659" bestFit="1" customWidth="1"/>
    <col min="11267" max="11267" width="16.5" style="659" bestFit="1" customWidth="1"/>
    <col min="11268" max="11520" width="9" style="659"/>
    <col min="11521" max="11521" width="12.875" style="659" bestFit="1" customWidth="1"/>
    <col min="11522" max="11522" width="6.625" style="659" bestFit="1" customWidth="1"/>
    <col min="11523" max="11523" width="16.5" style="659" bestFit="1" customWidth="1"/>
    <col min="11524" max="11776" width="9" style="659"/>
    <col min="11777" max="11777" width="12.875" style="659" bestFit="1" customWidth="1"/>
    <col min="11778" max="11778" width="6.625" style="659" bestFit="1" customWidth="1"/>
    <col min="11779" max="11779" width="16.5" style="659" bestFit="1" customWidth="1"/>
    <col min="11780" max="12032" width="9" style="659"/>
    <col min="12033" max="12033" width="12.875" style="659" bestFit="1" customWidth="1"/>
    <col min="12034" max="12034" width="6.625" style="659" bestFit="1" customWidth="1"/>
    <col min="12035" max="12035" width="16.5" style="659" bestFit="1" customWidth="1"/>
    <col min="12036" max="12288" width="9" style="659"/>
    <col min="12289" max="12289" width="12.875" style="659" bestFit="1" customWidth="1"/>
    <col min="12290" max="12290" width="6.625" style="659" bestFit="1" customWidth="1"/>
    <col min="12291" max="12291" width="16.5" style="659" bestFit="1" customWidth="1"/>
    <col min="12292" max="12544" width="9" style="659"/>
    <col min="12545" max="12545" width="12.875" style="659" bestFit="1" customWidth="1"/>
    <col min="12546" max="12546" width="6.625" style="659" bestFit="1" customWidth="1"/>
    <col min="12547" max="12547" width="16.5" style="659" bestFit="1" customWidth="1"/>
    <col min="12548" max="12800" width="9" style="659"/>
    <col min="12801" max="12801" width="12.875" style="659" bestFit="1" customWidth="1"/>
    <col min="12802" max="12802" width="6.625" style="659" bestFit="1" customWidth="1"/>
    <col min="12803" max="12803" width="16.5" style="659" bestFit="1" customWidth="1"/>
    <col min="12804" max="13056" width="9" style="659"/>
    <col min="13057" max="13057" width="12.875" style="659" bestFit="1" customWidth="1"/>
    <col min="13058" max="13058" width="6.625" style="659" bestFit="1" customWidth="1"/>
    <col min="13059" max="13059" width="16.5" style="659" bestFit="1" customWidth="1"/>
    <col min="13060" max="13312" width="9" style="659"/>
    <col min="13313" max="13313" width="12.875" style="659" bestFit="1" customWidth="1"/>
    <col min="13314" max="13314" width="6.625" style="659" bestFit="1" customWidth="1"/>
    <col min="13315" max="13315" width="16.5" style="659" bestFit="1" customWidth="1"/>
    <col min="13316" max="13568" width="9" style="659"/>
    <col min="13569" max="13569" width="12.875" style="659" bestFit="1" customWidth="1"/>
    <col min="13570" max="13570" width="6.625" style="659" bestFit="1" customWidth="1"/>
    <col min="13571" max="13571" width="16.5" style="659" bestFit="1" customWidth="1"/>
    <col min="13572" max="13824" width="9" style="659"/>
    <col min="13825" max="13825" width="12.875" style="659" bestFit="1" customWidth="1"/>
    <col min="13826" max="13826" width="6.625" style="659" bestFit="1" customWidth="1"/>
    <col min="13827" max="13827" width="16.5" style="659" bestFit="1" customWidth="1"/>
    <col min="13828" max="14080" width="9" style="659"/>
    <col min="14081" max="14081" width="12.875" style="659" bestFit="1" customWidth="1"/>
    <col min="14082" max="14082" width="6.625" style="659" bestFit="1" customWidth="1"/>
    <col min="14083" max="14083" width="16.5" style="659" bestFit="1" customWidth="1"/>
    <col min="14084" max="14336" width="9" style="659"/>
    <col min="14337" max="14337" width="12.875" style="659" bestFit="1" customWidth="1"/>
    <col min="14338" max="14338" width="6.625" style="659" bestFit="1" customWidth="1"/>
    <col min="14339" max="14339" width="16.5" style="659" bestFit="1" customWidth="1"/>
    <col min="14340" max="14592" width="9" style="659"/>
    <col min="14593" max="14593" width="12.875" style="659" bestFit="1" customWidth="1"/>
    <col min="14594" max="14594" width="6.625" style="659" bestFit="1" customWidth="1"/>
    <col min="14595" max="14595" width="16.5" style="659" bestFit="1" customWidth="1"/>
    <col min="14596" max="14848" width="9" style="659"/>
    <col min="14849" max="14849" width="12.875" style="659" bestFit="1" customWidth="1"/>
    <col min="14850" max="14850" width="6.625" style="659" bestFit="1" customWidth="1"/>
    <col min="14851" max="14851" width="16.5" style="659" bestFit="1" customWidth="1"/>
    <col min="14852" max="15104" width="9" style="659"/>
    <col min="15105" max="15105" width="12.875" style="659" bestFit="1" customWidth="1"/>
    <col min="15106" max="15106" width="6.625" style="659" bestFit="1" customWidth="1"/>
    <col min="15107" max="15107" width="16.5" style="659" bestFit="1" customWidth="1"/>
    <col min="15108" max="15360" width="9" style="659"/>
    <col min="15361" max="15361" width="12.875" style="659" bestFit="1" customWidth="1"/>
    <col min="15362" max="15362" width="6.625" style="659" bestFit="1" customWidth="1"/>
    <col min="15363" max="15363" width="16.5" style="659" bestFit="1" customWidth="1"/>
    <col min="15364" max="15616" width="9" style="659"/>
    <col min="15617" max="15617" width="12.875" style="659" bestFit="1" customWidth="1"/>
    <col min="15618" max="15618" width="6.625" style="659" bestFit="1" customWidth="1"/>
    <col min="15619" max="15619" width="16.5" style="659" bestFit="1" customWidth="1"/>
    <col min="15620" max="15872" width="9" style="659"/>
    <col min="15873" max="15873" width="12.875" style="659" bestFit="1" customWidth="1"/>
    <col min="15874" max="15874" width="6.625" style="659" bestFit="1" customWidth="1"/>
    <col min="15875" max="15875" width="16.5" style="659" bestFit="1" customWidth="1"/>
    <col min="15876" max="16128" width="9" style="659"/>
    <col min="16129" max="16129" width="12.875" style="659" bestFit="1" customWidth="1"/>
    <col min="16130" max="16130" width="6.625" style="659" bestFit="1" customWidth="1"/>
    <col min="16131" max="16131" width="16.5" style="659" bestFit="1" customWidth="1"/>
    <col min="16132" max="16384" width="9" style="659"/>
  </cols>
  <sheetData>
    <row r="1" spans="1:5">
      <c r="A1" s="661" t="s">
        <v>700</v>
      </c>
      <c r="B1" s="661" t="s">
        <v>701</v>
      </c>
      <c r="C1" s="661" t="s">
        <v>581</v>
      </c>
      <c r="D1" s="660"/>
      <c r="E1" s="660"/>
    </row>
    <row r="2" spans="1:5">
      <c r="A2" s="662" t="s">
        <v>702</v>
      </c>
      <c r="B2" s="661" t="s">
        <v>703</v>
      </c>
    </row>
    <row r="3" spans="1:5">
      <c r="A3" s="662" t="s">
        <v>704</v>
      </c>
      <c r="B3" s="661" t="s">
        <v>703</v>
      </c>
    </row>
    <row r="4" spans="1:5">
      <c r="A4" s="662" t="s">
        <v>705</v>
      </c>
      <c r="B4" s="661" t="s">
        <v>703</v>
      </c>
    </row>
    <row r="5" spans="1:5">
      <c r="A5" s="662" t="s">
        <v>706</v>
      </c>
      <c r="B5" s="661" t="s">
        <v>707</v>
      </c>
      <c r="C5" s="661"/>
    </row>
    <row r="6" spans="1:5">
      <c r="A6" s="662" t="s">
        <v>708</v>
      </c>
      <c r="B6" s="661" t="s">
        <v>709</v>
      </c>
      <c r="C6" s="661"/>
    </row>
    <row r="7" spans="1:5">
      <c r="A7" s="662" t="s">
        <v>710</v>
      </c>
      <c r="B7" s="661" t="s">
        <v>709</v>
      </c>
      <c r="C7" s="661"/>
    </row>
    <row r="8" spans="1:5">
      <c r="A8" s="662" t="s">
        <v>711</v>
      </c>
      <c r="B8" s="661" t="s">
        <v>707</v>
      </c>
      <c r="C8" s="661" t="s">
        <v>712</v>
      </c>
    </row>
    <row r="9" spans="1:5">
      <c r="A9" s="662" t="s">
        <v>713</v>
      </c>
      <c r="B9" s="661" t="s">
        <v>709</v>
      </c>
      <c r="C9" s="661" t="s">
        <v>714</v>
      </c>
    </row>
    <row r="10" spans="1:5">
      <c r="A10" s="661" t="s">
        <v>715</v>
      </c>
      <c r="B10" s="661" t="s">
        <v>707</v>
      </c>
      <c r="C10" s="661" t="s">
        <v>712</v>
      </c>
    </row>
    <row r="11" spans="1:5">
      <c r="A11" s="662" t="s">
        <v>716</v>
      </c>
      <c r="B11" s="661" t="s">
        <v>709</v>
      </c>
      <c r="C11" s="661"/>
    </row>
    <row r="12" spans="1:5">
      <c r="A12" s="662" t="s">
        <v>717</v>
      </c>
      <c r="B12" s="661" t="s">
        <v>709</v>
      </c>
      <c r="C12" s="661"/>
    </row>
    <row r="13" spans="1:5">
      <c r="A13" s="662" t="s">
        <v>718</v>
      </c>
      <c r="B13" s="661" t="s">
        <v>709</v>
      </c>
      <c r="C13" s="661"/>
    </row>
    <row r="14" spans="1:5">
      <c r="A14" s="662" t="s">
        <v>719</v>
      </c>
      <c r="B14" s="661" t="s">
        <v>709</v>
      </c>
      <c r="C14" s="661"/>
    </row>
    <row r="15" spans="1:5">
      <c r="A15" s="662" t="s">
        <v>720</v>
      </c>
      <c r="B15" s="661" t="s">
        <v>721</v>
      </c>
      <c r="C15" s="661"/>
    </row>
    <row r="16" spans="1:5">
      <c r="A16" s="662" t="s">
        <v>722</v>
      </c>
      <c r="B16" s="661" t="s">
        <v>709</v>
      </c>
      <c r="C16" s="661"/>
    </row>
    <row r="17" spans="1:3">
      <c r="A17" s="662" t="s">
        <v>723</v>
      </c>
      <c r="B17" s="661" t="s">
        <v>709</v>
      </c>
      <c r="C17" s="661"/>
    </row>
    <row r="18" spans="1:3">
      <c r="A18" s="662" t="s">
        <v>724</v>
      </c>
      <c r="B18" s="661" t="s">
        <v>709</v>
      </c>
      <c r="C18" s="661"/>
    </row>
    <row r="19" spans="1:3">
      <c r="A19" s="662" t="s">
        <v>725</v>
      </c>
      <c r="B19" s="661" t="s">
        <v>709</v>
      </c>
    </row>
    <row r="20" spans="1:3">
      <c r="A20" s="662" t="s">
        <v>726</v>
      </c>
      <c r="B20" s="661" t="s">
        <v>727</v>
      </c>
    </row>
    <row r="21" spans="1:3">
      <c r="A21" s="662" t="s">
        <v>728</v>
      </c>
      <c r="B21" s="661" t="s">
        <v>721</v>
      </c>
    </row>
    <row r="22" spans="1:3">
      <c r="A22" s="662" t="s">
        <v>729</v>
      </c>
      <c r="B22" s="661" t="s">
        <v>709</v>
      </c>
    </row>
    <row r="23" spans="1:3">
      <c r="A23" s="662" t="s">
        <v>730</v>
      </c>
      <c r="B23" s="661" t="s">
        <v>709</v>
      </c>
      <c r="C23" s="661" t="s">
        <v>731</v>
      </c>
    </row>
    <row r="24" spans="1:3">
      <c r="A24" s="662" t="s">
        <v>732</v>
      </c>
      <c r="B24" s="661" t="s">
        <v>709</v>
      </c>
      <c r="C24" s="661" t="s">
        <v>733</v>
      </c>
    </row>
    <row r="25" spans="1:3">
      <c r="A25" s="662" t="s">
        <v>734</v>
      </c>
      <c r="B25" s="661" t="s">
        <v>721</v>
      </c>
    </row>
    <row r="26" spans="1:3">
      <c r="A26" s="662" t="s">
        <v>735</v>
      </c>
      <c r="B26" s="661" t="s">
        <v>709</v>
      </c>
    </row>
    <row r="27" spans="1:3">
      <c r="A27" s="662" t="s">
        <v>736</v>
      </c>
      <c r="B27" s="661" t="s">
        <v>709</v>
      </c>
    </row>
    <row r="28" spans="1:3">
      <c r="A28" s="662" t="s">
        <v>737</v>
      </c>
      <c r="B28" s="661" t="s">
        <v>709</v>
      </c>
    </row>
    <row r="29" spans="1:3">
      <c r="A29" s="662" t="s">
        <v>738</v>
      </c>
      <c r="B29" s="661" t="s">
        <v>709</v>
      </c>
    </row>
    <row r="30" spans="1:3">
      <c r="A30" s="662" t="s">
        <v>739</v>
      </c>
      <c r="B30" s="661" t="s">
        <v>703</v>
      </c>
    </row>
    <row r="31" spans="1:3">
      <c r="A31" s="662" t="s">
        <v>740</v>
      </c>
      <c r="B31" s="661" t="s">
        <v>709</v>
      </c>
      <c r="C31" s="661" t="s">
        <v>741</v>
      </c>
    </row>
    <row r="32" spans="1:3">
      <c r="A32" s="662" t="s">
        <v>742</v>
      </c>
      <c r="B32" s="661" t="s">
        <v>709</v>
      </c>
    </row>
    <row r="33" spans="1:3">
      <c r="A33" s="662" t="s">
        <v>743</v>
      </c>
      <c r="B33" s="661" t="s">
        <v>727</v>
      </c>
    </row>
    <row r="34" spans="1:3">
      <c r="A34" s="662" t="s">
        <v>744</v>
      </c>
      <c r="B34" s="661" t="s">
        <v>709</v>
      </c>
    </row>
    <row r="35" spans="1:3">
      <c r="A35" s="662" t="s">
        <v>745</v>
      </c>
      <c r="B35" s="661" t="s">
        <v>709</v>
      </c>
    </row>
    <row r="36" spans="1:3">
      <c r="A36" s="661" t="s">
        <v>746</v>
      </c>
      <c r="B36" s="661" t="s">
        <v>709</v>
      </c>
      <c r="C36" s="661" t="s">
        <v>747</v>
      </c>
    </row>
    <row r="37" spans="1:3">
      <c r="A37" s="662" t="s">
        <v>748</v>
      </c>
      <c r="B37" s="661" t="s">
        <v>709</v>
      </c>
    </row>
    <row r="38" spans="1:3">
      <c r="A38" s="662" t="s">
        <v>749</v>
      </c>
      <c r="B38" s="661" t="s">
        <v>709</v>
      </c>
    </row>
    <row r="39" spans="1:3">
      <c r="A39" s="662" t="s">
        <v>750</v>
      </c>
      <c r="B39" s="661" t="s">
        <v>709</v>
      </c>
    </row>
    <row r="40" spans="1:3">
      <c r="A40" s="662" t="s">
        <v>751</v>
      </c>
      <c r="B40" s="661" t="s">
        <v>709</v>
      </c>
    </row>
    <row r="41" spans="1:3">
      <c r="A41" s="662" t="s">
        <v>752</v>
      </c>
      <c r="B41" s="661" t="s">
        <v>709</v>
      </c>
    </row>
    <row r="42" spans="1:3">
      <c r="A42" s="662" t="s">
        <v>753</v>
      </c>
      <c r="B42" s="661" t="s">
        <v>709</v>
      </c>
    </row>
    <row r="43" spans="1:3">
      <c r="A43" s="662" t="s">
        <v>754</v>
      </c>
      <c r="B43" s="661" t="s">
        <v>709</v>
      </c>
    </row>
    <row r="44" spans="1:3">
      <c r="A44" s="662" t="s">
        <v>755</v>
      </c>
      <c r="B44" s="661" t="s">
        <v>709</v>
      </c>
    </row>
    <row r="45" spans="1:3">
      <c r="A45" s="662" t="s">
        <v>756</v>
      </c>
      <c r="B45" s="661" t="s">
        <v>721</v>
      </c>
    </row>
    <row r="46" spans="1:3">
      <c r="A46" s="662" t="s">
        <v>757</v>
      </c>
      <c r="B46" s="661" t="s">
        <v>709</v>
      </c>
    </row>
    <row r="47" spans="1:3">
      <c r="A47" s="662" t="s">
        <v>758</v>
      </c>
      <c r="B47" s="661" t="s">
        <v>759</v>
      </c>
    </row>
    <row r="48" spans="1:3">
      <c r="A48" s="662" t="s">
        <v>760</v>
      </c>
      <c r="B48" s="661" t="s">
        <v>709</v>
      </c>
    </row>
    <row r="49" spans="1:2">
      <c r="A49" s="662" t="s">
        <v>761</v>
      </c>
      <c r="B49" s="661" t="s">
        <v>709</v>
      </c>
    </row>
    <row r="50" spans="1:2">
      <c r="A50" s="662" t="s">
        <v>762</v>
      </c>
      <c r="B50" s="661" t="s">
        <v>709</v>
      </c>
    </row>
    <row r="51" spans="1:2">
      <c r="A51" s="662" t="s">
        <v>763</v>
      </c>
      <c r="B51" s="661" t="s">
        <v>709</v>
      </c>
    </row>
    <row r="52" spans="1:2">
      <c r="A52" s="662" t="s">
        <v>764</v>
      </c>
      <c r="B52" s="661" t="s">
        <v>709</v>
      </c>
    </row>
    <row r="53" spans="1:2">
      <c r="A53" s="662" t="s">
        <v>765</v>
      </c>
      <c r="B53" s="661" t="s">
        <v>709</v>
      </c>
    </row>
    <row r="54" spans="1:2">
      <c r="A54" s="662" t="s">
        <v>766</v>
      </c>
      <c r="B54" s="661" t="s">
        <v>709</v>
      </c>
    </row>
    <row r="55" spans="1:2">
      <c r="A55" s="662" t="s">
        <v>767</v>
      </c>
      <c r="B55" s="661" t="s">
        <v>709</v>
      </c>
    </row>
    <row r="56" spans="1:2">
      <c r="A56" s="662" t="s">
        <v>768</v>
      </c>
      <c r="B56" s="661" t="s">
        <v>709</v>
      </c>
    </row>
    <row r="57" spans="1:2">
      <c r="A57" s="662" t="s">
        <v>769</v>
      </c>
      <c r="B57" s="661" t="s">
        <v>707</v>
      </c>
    </row>
    <row r="58" spans="1:2">
      <c r="A58" s="662" t="s">
        <v>770</v>
      </c>
      <c r="B58" s="661" t="s">
        <v>727</v>
      </c>
    </row>
  </sheetData>
  <phoneticPr fontId="14"/>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9"/>
  <sheetViews>
    <sheetView showGridLines="0" workbookViewId="0">
      <pane xSplit="1" ySplit="4" topLeftCell="B5" activePane="bottomRight" state="frozen"/>
      <selection pane="topRight" activeCell="B1" sqref="B1"/>
      <selection pane="bottomLeft" activeCell="A5" sqref="A5"/>
      <selection pane="bottomRight" activeCell="D14" sqref="D14"/>
    </sheetView>
  </sheetViews>
  <sheetFormatPr defaultRowHeight="12" zeroHeight="1"/>
  <cols>
    <col min="1" max="1" width="3.875" style="96" customWidth="1"/>
    <col min="2" max="2" width="2.875" style="96" customWidth="1"/>
    <col min="3" max="3" width="19.375" style="96" customWidth="1"/>
    <col min="4" max="4" width="27.125" style="96" customWidth="1"/>
    <col min="5" max="5" width="3.625" style="96" customWidth="1"/>
    <col min="6" max="6" width="2.625" style="96" bestFit="1" customWidth="1"/>
    <col min="7" max="8" width="3.375" style="96" customWidth="1"/>
    <col min="9" max="9" width="5.25" style="96" customWidth="1"/>
    <col min="10" max="12" width="12.25" style="96" customWidth="1"/>
    <col min="13" max="13" width="5.75" style="97" customWidth="1"/>
    <col min="14" max="15" width="11.25" style="97" customWidth="1"/>
    <col min="16" max="16" width="11.25" style="158" customWidth="1"/>
    <col min="17" max="19" width="11.25" style="96" customWidth="1"/>
    <col min="20" max="20" width="27.25" style="96" bestFit="1" customWidth="1"/>
    <col min="21" max="21" width="4.5" style="96" customWidth="1"/>
    <col min="22" max="22" width="15.125" style="96" customWidth="1"/>
    <col min="23" max="23" width="11.5" style="96" customWidth="1"/>
    <col min="24" max="24" width="12.125" style="96" customWidth="1"/>
    <col min="25" max="25" width="7.875" style="96" customWidth="1"/>
    <col min="26" max="26" width="8.875" style="96" customWidth="1"/>
    <col min="27" max="27" width="4.875" style="96" customWidth="1"/>
    <col min="28" max="28" width="16.25" style="96" customWidth="1"/>
    <col min="29" max="29" width="11.875" style="96" customWidth="1"/>
    <col min="30" max="30" width="8.25" style="96" customWidth="1"/>
    <col min="31" max="31" width="6.125" style="96" customWidth="1"/>
    <col min="32" max="32" width="6.625" style="96" customWidth="1"/>
    <col min="33" max="33" width="12.5" style="96" customWidth="1"/>
    <col min="34" max="16384" width="9" style="96"/>
  </cols>
  <sheetData>
    <row r="1" spans="1:85" ht="16.5" customHeight="1">
      <c r="A1" s="440" t="s">
        <v>9</v>
      </c>
      <c r="B1" s="92"/>
      <c r="C1" s="92"/>
      <c r="D1" s="93" t="s">
        <v>10</v>
      </c>
      <c r="E1" s="754">
        <f>①技術体系!E2*100</f>
        <v>1050</v>
      </c>
      <c r="F1" s="754"/>
      <c r="G1" s="94" t="s">
        <v>11</v>
      </c>
      <c r="H1" s="95"/>
      <c r="I1" s="95"/>
      <c r="J1" s="95"/>
      <c r="P1" s="97"/>
      <c r="Q1" s="98" t="str">
        <f>①技術体系!A2</f>
        <v>小麦</v>
      </c>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row>
    <row r="2" spans="1:85" ht="18.75" customHeight="1">
      <c r="A2" s="763" t="s">
        <v>12</v>
      </c>
      <c r="B2" s="763"/>
      <c r="C2" s="763"/>
      <c r="D2" s="100" t="s">
        <v>13</v>
      </c>
      <c r="E2" s="755" t="s">
        <v>14</v>
      </c>
      <c r="F2" s="755" t="s">
        <v>15</v>
      </c>
      <c r="G2" s="755" t="s">
        <v>16</v>
      </c>
      <c r="H2" s="748" t="s">
        <v>17</v>
      </c>
      <c r="I2" s="748" t="s">
        <v>18</v>
      </c>
      <c r="J2" s="204" t="s">
        <v>19</v>
      </c>
      <c r="K2" s="204" t="s">
        <v>20</v>
      </c>
      <c r="L2" s="100" t="s">
        <v>21</v>
      </c>
      <c r="M2" s="749" t="s">
        <v>22</v>
      </c>
      <c r="N2" s="750"/>
      <c r="O2" s="750"/>
      <c r="P2" s="750"/>
      <c r="Q2" s="750"/>
      <c r="R2" s="750"/>
      <c r="S2" s="751"/>
      <c r="T2" s="204"/>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row>
    <row r="3" spans="1:85" ht="17.25" customHeight="1">
      <c r="A3" s="101"/>
      <c r="B3" s="102"/>
      <c r="C3" s="103"/>
      <c r="D3" s="103"/>
      <c r="E3" s="755"/>
      <c r="F3" s="755"/>
      <c r="G3" s="755"/>
      <c r="H3" s="748"/>
      <c r="I3" s="748"/>
      <c r="J3" s="104"/>
      <c r="K3" s="104" t="s">
        <v>23</v>
      </c>
      <c r="L3" s="103" t="s">
        <v>20</v>
      </c>
      <c r="M3" s="752" t="s">
        <v>24</v>
      </c>
      <c r="N3" s="103" t="s">
        <v>25</v>
      </c>
      <c r="O3" s="103" t="s">
        <v>26</v>
      </c>
      <c r="P3" s="103" t="s">
        <v>27</v>
      </c>
      <c r="Q3" s="103" t="s">
        <v>28</v>
      </c>
      <c r="R3" s="103" t="s">
        <v>28</v>
      </c>
      <c r="S3" s="103" t="s">
        <v>29</v>
      </c>
      <c r="T3" s="103" t="s">
        <v>30</v>
      </c>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row>
    <row r="4" spans="1:85" ht="18" customHeight="1">
      <c r="A4" s="105"/>
      <c r="B4" s="106"/>
      <c r="C4" s="107"/>
      <c r="D4" s="107"/>
      <c r="E4" s="755"/>
      <c r="F4" s="755"/>
      <c r="G4" s="755"/>
      <c r="H4" s="748"/>
      <c r="I4" s="748"/>
      <c r="J4" s="108"/>
      <c r="K4" s="108"/>
      <c r="L4" s="107"/>
      <c r="M4" s="752"/>
      <c r="N4" s="107"/>
      <c r="O4" s="107"/>
      <c r="P4" s="107"/>
      <c r="Q4" s="107"/>
      <c r="R4" s="109" t="s">
        <v>31</v>
      </c>
      <c r="S4" s="109" t="s">
        <v>31</v>
      </c>
      <c r="T4" s="107"/>
      <c r="U4" s="99"/>
      <c r="V4" s="23"/>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row>
    <row r="5" spans="1:85" ht="14.1" customHeight="1">
      <c r="A5" s="110"/>
      <c r="B5" s="764" t="s">
        <v>287</v>
      </c>
      <c r="C5" s="765"/>
      <c r="D5" s="111" t="s">
        <v>490</v>
      </c>
      <c r="E5" s="112">
        <v>1</v>
      </c>
      <c r="F5" s="112" t="s">
        <v>285</v>
      </c>
      <c r="G5" s="113"/>
      <c r="H5" s="112">
        <v>24</v>
      </c>
      <c r="I5" s="123">
        <v>1</v>
      </c>
      <c r="J5" s="114">
        <v>3720000</v>
      </c>
      <c r="K5" s="396">
        <f>J5*E5</f>
        <v>3720000</v>
      </c>
      <c r="L5" s="397">
        <f>IF(I5="",K5,I5*K5)</f>
        <v>3720000</v>
      </c>
      <c r="M5" s="113">
        <v>0.4</v>
      </c>
      <c r="N5" s="406">
        <f>IF(I5="",INT(K5*M5),INT(K5*I5*M5))</f>
        <v>1488000</v>
      </c>
      <c r="O5" s="406">
        <f>N5*(G5)</f>
        <v>0</v>
      </c>
      <c r="P5" s="407">
        <f>N5-O5</f>
        <v>1488000</v>
      </c>
      <c r="Q5" s="406">
        <f>IF(H5="",0,ROUND(P5/H5,0))</f>
        <v>62000</v>
      </c>
      <c r="R5" s="406">
        <f>IF(Q5=0,0,INT(Q5/$E$1*10))</f>
        <v>590</v>
      </c>
      <c r="S5" s="406">
        <f>IF(R5=0,0,$D$42*K5*M5/$E$1*10)</f>
        <v>141.71428571428572</v>
      </c>
      <c r="T5" s="326"/>
      <c r="U5" s="202"/>
      <c r="V5" s="203"/>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row>
    <row r="6" spans="1:85" ht="14.1" customHeight="1">
      <c r="A6" s="115" t="s">
        <v>32</v>
      </c>
      <c r="B6" s="766"/>
      <c r="C6" s="767"/>
      <c r="D6" s="111"/>
      <c r="E6" s="112"/>
      <c r="F6" s="112"/>
      <c r="G6" s="113"/>
      <c r="H6" s="112"/>
      <c r="I6" s="123"/>
      <c r="J6" s="116"/>
      <c r="K6" s="396">
        <f>J6*E6</f>
        <v>0</v>
      </c>
      <c r="L6" s="398">
        <f>IF(I6="",K6,I6*K6)</f>
        <v>0</v>
      </c>
      <c r="M6" s="113"/>
      <c r="N6" s="406">
        <f>IF(I6="",INT(K6*M6),INT(K6*I6*M6))</f>
        <v>0</v>
      </c>
      <c r="O6" s="406">
        <f>N6*(G6)</f>
        <v>0</v>
      </c>
      <c r="P6" s="407">
        <f>N6-O6</f>
        <v>0</v>
      </c>
      <c r="Q6" s="406">
        <f>IF(H6="",0,ROUND(P6/H6,0))</f>
        <v>0</v>
      </c>
      <c r="R6" s="406">
        <f t="shared" ref="R6:R18" si="0">IF(Q6=0,0,INT(Q6/$E$1*10))</f>
        <v>0</v>
      </c>
      <c r="S6" s="406">
        <f>IF(R6=0,0,$D$42*K6*M6/$E$1*10)</f>
        <v>0</v>
      </c>
      <c r="T6" s="327"/>
      <c r="U6" s="99"/>
      <c r="V6" s="1"/>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row>
    <row r="7" spans="1:85" ht="14.1" customHeight="1">
      <c r="A7" s="115" t="s">
        <v>33</v>
      </c>
      <c r="B7" s="766"/>
      <c r="C7" s="767"/>
      <c r="D7" s="111"/>
      <c r="E7" s="112"/>
      <c r="F7" s="112"/>
      <c r="G7" s="113"/>
      <c r="H7" s="112"/>
      <c r="I7" s="123"/>
      <c r="J7" s="117"/>
      <c r="K7" s="396">
        <f>J7*E7</f>
        <v>0</v>
      </c>
      <c r="L7" s="398">
        <f>IF(I7="",K7,I7*K7)</f>
        <v>0</v>
      </c>
      <c r="M7" s="113"/>
      <c r="N7" s="406">
        <f>IF(I7="",INT(K7*M7),INT(K7*I7*M7))</f>
        <v>0</v>
      </c>
      <c r="O7" s="406">
        <f>N7*(G7)</f>
        <v>0</v>
      </c>
      <c r="P7" s="407">
        <f>N7-O7</f>
        <v>0</v>
      </c>
      <c r="Q7" s="406">
        <f>IF(H7="",0,ROUND(P7/H7,0))</f>
        <v>0</v>
      </c>
      <c r="R7" s="406">
        <f t="shared" si="0"/>
        <v>0</v>
      </c>
      <c r="S7" s="406">
        <f>IF(R7=0,0,$D$42*K7*M7/$E$1*10)</f>
        <v>0</v>
      </c>
      <c r="T7" s="327"/>
      <c r="U7" s="99"/>
      <c r="V7" s="1"/>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row>
    <row r="8" spans="1:85" ht="14.1" customHeight="1">
      <c r="A8" s="118"/>
      <c r="B8" s="768" t="s">
        <v>588</v>
      </c>
      <c r="C8" s="769"/>
      <c r="D8" s="428"/>
      <c r="E8" s="429"/>
      <c r="F8" s="429"/>
      <c r="G8" s="430"/>
      <c r="H8" s="429"/>
      <c r="I8" s="431"/>
      <c r="J8" s="432"/>
      <c r="K8" s="399">
        <f>SUM(K5:K7)</f>
        <v>3720000</v>
      </c>
      <c r="L8" s="400">
        <f>SUM(L5:L7)</f>
        <v>3720000</v>
      </c>
      <c r="M8" s="430"/>
      <c r="N8" s="403">
        <f t="shared" ref="N8:S8" si="1">SUM(N5:N7)</f>
        <v>1488000</v>
      </c>
      <c r="O8" s="403">
        <f t="shared" si="1"/>
        <v>0</v>
      </c>
      <c r="P8" s="403">
        <f t="shared" si="1"/>
        <v>1488000</v>
      </c>
      <c r="Q8" s="403">
        <f t="shared" si="1"/>
        <v>62000</v>
      </c>
      <c r="R8" s="403">
        <f t="shared" si="1"/>
        <v>590</v>
      </c>
      <c r="S8" s="403">
        <f t="shared" si="1"/>
        <v>141.71428571428572</v>
      </c>
      <c r="T8" s="119"/>
      <c r="U8" s="99"/>
      <c r="V8" s="1"/>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row>
    <row r="9" spans="1:85" ht="14.1" customHeight="1">
      <c r="A9" s="115"/>
      <c r="B9" s="764"/>
      <c r="C9" s="765"/>
      <c r="D9" s="111"/>
      <c r="E9" s="112"/>
      <c r="F9" s="112"/>
      <c r="G9" s="113"/>
      <c r="H9" s="112"/>
      <c r="I9" s="123"/>
      <c r="J9" s="201"/>
      <c r="K9" s="396">
        <f>J9*E9</f>
        <v>0</v>
      </c>
      <c r="L9" s="398">
        <f t="shared" ref="L9:L16" si="2">IF(I9="",K9,I9*K9)</f>
        <v>0</v>
      </c>
      <c r="M9" s="113"/>
      <c r="N9" s="406">
        <f t="shared" ref="N9:N16" si="3">IF(I9="",INT(K9*M9),INT(K9*I9*M9))</f>
        <v>0</v>
      </c>
      <c r="O9" s="406">
        <f t="shared" ref="O9:O16" si="4">N9*(G9)</f>
        <v>0</v>
      </c>
      <c r="P9" s="407">
        <f t="shared" ref="P9:P16" si="5">N9-O9</f>
        <v>0</v>
      </c>
      <c r="Q9" s="406">
        <f t="shared" ref="Q9:Q16" si="6">IF(H9="",0,ROUND(P9/H9,0))</f>
        <v>0</v>
      </c>
      <c r="R9" s="406">
        <f t="shared" si="0"/>
        <v>0</v>
      </c>
      <c r="S9" s="406">
        <f>IF(R9=0,0,$D$42*K9*M9/$E$1*10)</f>
        <v>0</v>
      </c>
      <c r="T9" s="327"/>
      <c r="U9" s="99"/>
      <c r="V9" s="1"/>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row>
    <row r="10" spans="1:85" ht="14.1" customHeight="1">
      <c r="A10" s="115"/>
      <c r="B10" s="766"/>
      <c r="C10" s="767"/>
      <c r="D10" s="111"/>
      <c r="E10" s="112"/>
      <c r="F10" s="112"/>
      <c r="G10" s="113"/>
      <c r="H10" s="112"/>
      <c r="I10" s="123"/>
      <c r="J10" s="201"/>
      <c r="K10" s="396">
        <f t="shared" ref="K10:K16" si="7">J10*E10</f>
        <v>0</v>
      </c>
      <c r="L10" s="398">
        <f t="shared" si="2"/>
        <v>0</v>
      </c>
      <c r="M10" s="113"/>
      <c r="N10" s="406">
        <f t="shared" si="3"/>
        <v>0</v>
      </c>
      <c r="O10" s="406">
        <f t="shared" si="4"/>
        <v>0</v>
      </c>
      <c r="P10" s="407">
        <f t="shared" si="5"/>
        <v>0</v>
      </c>
      <c r="Q10" s="406">
        <f t="shared" si="6"/>
        <v>0</v>
      </c>
      <c r="R10" s="406">
        <f t="shared" si="0"/>
        <v>0</v>
      </c>
      <c r="S10" s="406">
        <f>IF(R10=0,0,$D$42*K10*M10/$E$1*10)</f>
        <v>0</v>
      </c>
      <c r="T10" s="326"/>
      <c r="U10" s="99"/>
      <c r="V10" s="1"/>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row>
    <row r="11" spans="1:85" ht="14.1" customHeight="1">
      <c r="A11" s="120" t="s">
        <v>34</v>
      </c>
      <c r="B11" s="766"/>
      <c r="C11" s="767"/>
      <c r="D11" s="474"/>
      <c r="E11" s="112"/>
      <c r="F11" s="112"/>
      <c r="G11" s="113"/>
      <c r="H11" s="112"/>
      <c r="I11" s="123"/>
      <c r="J11" s="201"/>
      <c r="K11" s="396">
        <f t="shared" si="7"/>
        <v>0</v>
      </c>
      <c r="L11" s="398">
        <f t="shared" si="2"/>
        <v>0</v>
      </c>
      <c r="M11" s="113"/>
      <c r="N11" s="406">
        <f t="shared" si="3"/>
        <v>0</v>
      </c>
      <c r="O11" s="406">
        <f t="shared" si="4"/>
        <v>0</v>
      </c>
      <c r="P11" s="407">
        <f t="shared" si="5"/>
        <v>0</v>
      </c>
      <c r="Q11" s="406">
        <f t="shared" si="6"/>
        <v>0</v>
      </c>
      <c r="R11" s="406">
        <f t="shared" si="0"/>
        <v>0</v>
      </c>
      <c r="S11" s="406">
        <f>IF(R11=0,0,$D$42*K11*M11/$E$1*10)</f>
        <v>0</v>
      </c>
      <c r="T11" s="326"/>
      <c r="U11" s="99"/>
      <c r="V11" s="1"/>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row>
    <row r="12" spans="1:85" ht="14.1" customHeight="1">
      <c r="A12" s="120"/>
      <c r="B12" s="766"/>
      <c r="C12" s="767"/>
      <c r="D12" s="474"/>
      <c r="E12" s="112"/>
      <c r="F12" s="112"/>
      <c r="G12" s="113"/>
      <c r="H12" s="112"/>
      <c r="I12" s="123"/>
      <c r="J12" s="201"/>
      <c r="K12" s="396">
        <f t="shared" si="7"/>
        <v>0</v>
      </c>
      <c r="L12" s="398">
        <f t="shared" si="2"/>
        <v>0</v>
      </c>
      <c r="M12" s="113"/>
      <c r="N12" s="406">
        <f t="shared" si="3"/>
        <v>0</v>
      </c>
      <c r="O12" s="406">
        <f t="shared" si="4"/>
        <v>0</v>
      </c>
      <c r="P12" s="407">
        <f t="shared" si="5"/>
        <v>0</v>
      </c>
      <c r="Q12" s="406">
        <f t="shared" si="6"/>
        <v>0</v>
      </c>
      <c r="R12" s="406">
        <f t="shared" si="0"/>
        <v>0</v>
      </c>
      <c r="S12" s="406">
        <f>IF(R12=0,0,$D$42*K12*M12/$E$1*10)</f>
        <v>0</v>
      </c>
      <c r="T12" s="326"/>
      <c r="U12" s="99"/>
      <c r="V12" s="1"/>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row>
    <row r="13" spans="1:85" ht="14.1" customHeight="1">
      <c r="A13" s="120" t="s">
        <v>35</v>
      </c>
      <c r="B13" s="766"/>
      <c r="C13" s="767"/>
      <c r="D13" s="111"/>
      <c r="E13" s="112"/>
      <c r="F13" s="112"/>
      <c r="G13" s="113"/>
      <c r="H13" s="112"/>
      <c r="I13" s="123"/>
      <c r="J13" s="475"/>
      <c r="K13" s="396">
        <f t="shared" si="7"/>
        <v>0</v>
      </c>
      <c r="L13" s="398">
        <f t="shared" si="2"/>
        <v>0</v>
      </c>
      <c r="M13" s="113"/>
      <c r="N13" s="406">
        <f t="shared" si="3"/>
        <v>0</v>
      </c>
      <c r="O13" s="406">
        <f t="shared" si="4"/>
        <v>0</v>
      </c>
      <c r="P13" s="407">
        <f t="shared" si="5"/>
        <v>0</v>
      </c>
      <c r="Q13" s="406">
        <f t="shared" si="6"/>
        <v>0</v>
      </c>
      <c r="R13" s="406">
        <f t="shared" si="0"/>
        <v>0</v>
      </c>
      <c r="S13" s="406">
        <f>IF(R13=0,0,$D$42*K13*M13/$E$1*10)</f>
        <v>0</v>
      </c>
      <c r="T13" s="326"/>
      <c r="U13" s="99"/>
      <c r="V13" s="1"/>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row>
    <row r="14" spans="1:85" ht="14.1" customHeight="1">
      <c r="A14" s="120"/>
      <c r="B14" s="766"/>
      <c r="C14" s="767"/>
      <c r="D14" s="111"/>
      <c r="E14" s="112"/>
      <c r="F14" s="112"/>
      <c r="G14" s="122"/>
      <c r="H14" s="112"/>
      <c r="I14" s="123"/>
      <c r="J14" s="117"/>
      <c r="K14" s="401">
        <f t="shared" si="7"/>
        <v>0</v>
      </c>
      <c r="L14" s="402">
        <f t="shared" si="2"/>
        <v>0</v>
      </c>
      <c r="M14" s="113"/>
      <c r="N14" s="406">
        <f t="shared" si="3"/>
        <v>0</v>
      </c>
      <c r="O14" s="406">
        <f t="shared" si="4"/>
        <v>0</v>
      </c>
      <c r="P14" s="407">
        <f t="shared" si="5"/>
        <v>0</v>
      </c>
      <c r="Q14" s="406">
        <f t="shared" si="6"/>
        <v>0</v>
      </c>
      <c r="R14" s="406">
        <f t="shared" si="0"/>
        <v>0</v>
      </c>
      <c r="S14" s="406">
        <f>IF(R14=0,0,$D$43*K14*M14/$E$1*10)</f>
        <v>0</v>
      </c>
      <c r="T14" s="327"/>
      <c r="U14" s="99"/>
      <c r="V14" s="1"/>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row>
    <row r="15" spans="1:85" ht="14.1" customHeight="1">
      <c r="A15" s="120"/>
      <c r="B15" s="766"/>
      <c r="C15" s="767"/>
      <c r="D15" s="111"/>
      <c r="E15" s="112"/>
      <c r="F15" s="112"/>
      <c r="G15" s="122"/>
      <c r="H15" s="112"/>
      <c r="I15" s="123"/>
      <c r="J15" s="117"/>
      <c r="K15" s="401">
        <f t="shared" si="7"/>
        <v>0</v>
      </c>
      <c r="L15" s="402">
        <f t="shared" si="2"/>
        <v>0</v>
      </c>
      <c r="M15" s="113"/>
      <c r="N15" s="406">
        <f t="shared" si="3"/>
        <v>0</v>
      </c>
      <c r="O15" s="406">
        <f t="shared" si="4"/>
        <v>0</v>
      </c>
      <c r="P15" s="407">
        <f t="shared" si="5"/>
        <v>0</v>
      </c>
      <c r="Q15" s="406">
        <f t="shared" si="6"/>
        <v>0</v>
      </c>
      <c r="R15" s="406">
        <f t="shared" si="0"/>
        <v>0</v>
      </c>
      <c r="S15" s="406">
        <f>IF(R15=0,0,$D$43*K15*M15/$E$1*10)</f>
        <v>0</v>
      </c>
      <c r="T15" s="327"/>
      <c r="U15" s="99"/>
      <c r="V15" s="1"/>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row>
    <row r="16" spans="1:85" ht="14.1" customHeight="1">
      <c r="A16" s="120"/>
      <c r="B16" s="766"/>
      <c r="C16" s="767"/>
      <c r="D16" s="111"/>
      <c r="E16" s="112"/>
      <c r="F16" s="112"/>
      <c r="G16" s="113"/>
      <c r="H16" s="112"/>
      <c r="I16" s="123"/>
      <c r="J16" s="200"/>
      <c r="K16" s="396">
        <f t="shared" si="7"/>
        <v>0</v>
      </c>
      <c r="L16" s="398">
        <f t="shared" si="2"/>
        <v>0</v>
      </c>
      <c r="M16" s="113"/>
      <c r="N16" s="406">
        <f t="shared" si="3"/>
        <v>0</v>
      </c>
      <c r="O16" s="406">
        <f t="shared" si="4"/>
        <v>0</v>
      </c>
      <c r="P16" s="407">
        <f t="shared" si="5"/>
        <v>0</v>
      </c>
      <c r="Q16" s="406">
        <f t="shared" si="6"/>
        <v>0</v>
      </c>
      <c r="R16" s="406">
        <f t="shared" si="0"/>
        <v>0</v>
      </c>
      <c r="S16" s="406">
        <f>IF(R16=0,0,$D$42*K16*M16/$E$1*10)</f>
        <v>0</v>
      </c>
      <c r="T16" s="327"/>
      <c r="U16" s="99"/>
      <c r="V16" s="1"/>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row>
    <row r="17" spans="1:84" ht="14.1" customHeight="1">
      <c r="A17" s="120"/>
      <c r="B17" s="766"/>
      <c r="C17" s="767"/>
      <c r="D17" s="111"/>
      <c r="E17" s="112"/>
      <c r="F17" s="112"/>
      <c r="G17" s="113"/>
      <c r="H17" s="112"/>
      <c r="I17" s="123"/>
      <c r="J17" s="200"/>
      <c r="K17" s="396">
        <f>J17*E17</f>
        <v>0</v>
      </c>
      <c r="L17" s="398">
        <f>IF(I17="",K17,I17*K17)</f>
        <v>0</v>
      </c>
      <c r="M17" s="113"/>
      <c r="N17" s="406">
        <f>IF(I17="",INT(K17*M17),INT(K17*I17*M17))</f>
        <v>0</v>
      </c>
      <c r="O17" s="406">
        <f>N17*(G17)</f>
        <v>0</v>
      </c>
      <c r="P17" s="407">
        <f>N17-O17</f>
        <v>0</v>
      </c>
      <c r="Q17" s="406">
        <f>IF(H17="",0,ROUND(P17/H17,0))</f>
        <v>0</v>
      </c>
      <c r="R17" s="406">
        <f t="shared" si="0"/>
        <v>0</v>
      </c>
      <c r="S17" s="406">
        <f>IF(R17=0,0,$D$42*K17*M17/$E$1*10)</f>
        <v>0</v>
      </c>
      <c r="T17" s="327"/>
      <c r="U17" s="99"/>
      <c r="V17" s="1"/>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row>
    <row r="18" spans="1:84" ht="14.1" customHeight="1">
      <c r="A18" s="120"/>
      <c r="B18" s="766"/>
      <c r="C18" s="767"/>
      <c r="D18" s="111"/>
      <c r="E18" s="112"/>
      <c r="F18" s="112"/>
      <c r="G18" s="113"/>
      <c r="H18" s="112"/>
      <c r="I18" s="123"/>
      <c r="J18" s="200"/>
      <c r="K18" s="396">
        <f>J18*E18</f>
        <v>0</v>
      </c>
      <c r="L18" s="398">
        <f>IF(I18="",K18,I18*K18)</f>
        <v>0</v>
      </c>
      <c r="M18" s="113"/>
      <c r="N18" s="406">
        <f>IF(I18="",INT(K18*M18),INT(K18*I18*M18))</f>
        <v>0</v>
      </c>
      <c r="O18" s="406">
        <f>N18*(G18)</f>
        <v>0</v>
      </c>
      <c r="P18" s="407">
        <f>N18-O18</f>
        <v>0</v>
      </c>
      <c r="Q18" s="406">
        <f>IF(H18="",0,ROUND(P18/H18,0))</f>
        <v>0</v>
      </c>
      <c r="R18" s="406">
        <f t="shared" si="0"/>
        <v>0</v>
      </c>
      <c r="S18" s="406">
        <f>IF(R18=0,0,$D$42*K18*M18/$E$1*10)</f>
        <v>0</v>
      </c>
      <c r="T18" s="327"/>
      <c r="U18" s="99"/>
      <c r="V18" s="1"/>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row>
    <row r="19" spans="1:84" ht="14.1" customHeight="1">
      <c r="A19" s="121"/>
      <c r="B19" s="768" t="s">
        <v>36</v>
      </c>
      <c r="C19" s="769"/>
      <c r="D19" s="428"/>
      <c r="E19" s="429"/>
      <c r="F19" s="429"/>
      <c r="G19" s="428"/>
      <c r="H19" s="433"/>
      <c r="I19" s="434"/>
      <c r="J19" s="435"/>
      <c r="K19" s="399">
        <f>SUM(K9:K18)</f>
        <v>0</v>
      </c>
      <c r="L19" s="403">
        <f>SUM(L9:L18)</f>
        <v>0</v>
      </c>
      <c r="M19" s="428"/>
      <c r="N19" s="403">
        <f t="shared" ref="N19:S19" si="8">SUM(N9:N18)</f>
        <v>0</v>
      </c>
      <c r="O19" s="403">
        <f t="shared" si="8"/>
        <v>0</v>
      </c>
      <c r="P19" s="403">
        <f t="shared" si="8"/>
        <v>0</v>
      </c>
      <c r="Q19" s="403">
        <f t="shared" si="8"/>
        <v>0</v>
      </c>
      <c r="R19" s="403">
        <f t="shared" si="8"/>
        <v>0</v>
      </c>
      <c r="S19" s="403">
        <f t="shared" si="8"/>
        <v>0</v>
      </c>
      <c r="T19" s="119"/>
      <c r="U19" s="99"/>
      <c r="V19" s="1"/>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row>
    <row r="20" spans="1:84" ht="14.1" customHeight="1">
      <c r="A20" s="756" t="s">
        <v>292</v>
      </c>
      <c r="B20" s="764" t="s">
        <v>497</v>
      </c>
      <c r="C20" s="765"/>
      <c r="D20" s="111" t="s">
        <v>491</v>
      </c>
      <c r="E20" s="112">
        <v>1</v>
      </c>
      <c r="F20" s="112" t="s">
        <v>286</v>
      </c>
      <c r="G20" s="122"/>
      <c r="H20" s="112">
        <v>7</v>
      </c>
      <c r="I20" s="123">
        <v>1</v>
      </c>
      <c r="J20" s="201">
        <v>3159450</v>
      </c>
      <c r="K20" s="396">
        <f>J20*E20</f>
        <v>3159450</v>
      </c>
      <c r="L20" s="398">
        <f>IF(I20="",K20,I20*K20)</f>
        <v>3159450</v>
      </c>
      <c r="M20" s="123">
        <v>0.2</v>
      </c>
      <c r="N20" s="406">
        <f t="shared" ref="N20:N21" si="9">IF(I20="",INT(K20*M20),INT(K20*I20*M20))</f>
        <v>631890</v>
      </c>
      <c r="O20" s="406">
        <f t="shared" ref="O20:O21" si="10">N20*(G20)</f>
        <v>0</v>
      </c>
      <c r="P20" s="407">
        <f t="shared" ref="P20:P21" si="11">N20-O20</f>
        <v>631890</v>
      </c>
      <c r="Q20" s="406">
        <f t="shared" ref="Q20:Q21" si="12">IF(H20="",0,ROUND(P20/H20,0))</f>
        <v>90270</v>
      </c>
      <c r="R20" s="406">
        <f>IF(Q20=0,0,INT(Q20/$E$1*10))</f>
        <v>859</v>
      </c>
      <c r="S20" s="408">
        <f t="shared" ref="S20:S33" si="13">IF(R20=0,0,$D$43*K20*M20/$E$1*10)</f>
        <v>240.72000000000003</v>
      </c>
      <c r="T20" s="327"/>
      <c r="U20" s="99"/>
      <c r="V20" s="1"/>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row>
    <row r="21" spans="1:84" ht="14.1" customHeight="1">
      <c r="A21" s="757"/>
      <c r="B21" s="766" t="s">
        <v>499</v>
      </c>
      <c r="C21" s="767"/>
      <c r="D21" s="111" t="s">
        <v>492</v>
      </c>
      <c r="E21" s="112">
        <v>1</v>
      </c>
      <c r="F21" s="112" t="s">
        <v>286</v>
      </c>
      <c r="G21" s="122"/>
      <c r="H21" s="112">
        <v>7</v>
      </c>
      <c r="I21" s="123">
        <v>1</v>
      </c>
      <c r="J21" s="201">
        <v>260000</v>
      </c>
      <c r="K21" s="396">
        <f>J21*E21</f>
        <v>260000</v>
      </c>
      <c r="L21" s="398">
        <f>IF(I21="",K21,I21*K21)</f>
        <v>260000</v>
      </c>
      <c r="M21" s="123">
        <v>0.2</v>
      </c>
      <c r="N21" s="406">
        <f t="shared" si="9"/>
        <v>52000</v>
      </c>
      <c r="O21" s="406">
        <f t="shared" si="10"/>
        <v>0</v>
      </c>
      <c r="P21" s="407">
        <f t="shared" si="11"/>
        <v>52000</v>
      </c>
      <c r="Q21" s="406">
        <f t="shared" si="12"/>
        <v>7429</v>
      </c>
      <c r="R21" s="406">
        <f t="shared" ref="R21" si="14">IF(Q21=0,0,INT(Q21/$E$1*10))</f>
        <v>70</v>
      </c>
      <c r="S21" s="406">
        <f t="shared" si="13"/>
        <v>19.80952380952381</v>
      </c>
      <c r="T21" s="327"/>
      <c r="U21" s="99"/>
      <c r="V21" s="1"/>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row>
    <row r="22" spans="1:84" ht="14.1" customHeight="1">
      <c r="A22" s="758"/>
      <c r="B22" s="766" t="s">
        <v>500</v>
      </c>
      <c r="C22" s="767"/>
      <c r="D22" s="111" t="s">
        <v>493</v>
      </c>
      <c r="E22" s="112">
        <v>1</v>
      </c>
      <c r="F22" s="112"/>
      <c r="G22" s="122"/>
      <c r="H22" s="112">
        <v>7</v>
      </c>
      <c r="I22" s="123">
        <v>1</v>
      </c>
      <c r="J22" s="201">
        <v>169000</v>
      </c>
      <c r="K22" s="396">
        <f t="shared" ref="K22:K31" si="15">J22*E22</f>
        <v>169000</v>
      </c>
      <c r="L22" s="398">
        <f t="shared" ref="L22:L31" si="16">IF(I22="",K22,I22*K22)</f>
        <v>169000</v>
      </c>
      <c r="M22" s="123">
        <v>0.2</v>
      </c>
      <c r="N22" s="406">
        <f t="shared" ref="N22:N30" si="17">IF(I22="",INT(K22*M22),INT(K22*I22*M22))</f>
        <v>33800</v>
      </c>
      <c r="O22" s="406">
        <f t="shared" ref="O22:O30" si="18">N22*(G22)</f>
        <v>0</v>
      </c>
      <c r="P22" s="407">
        <f t="shared" ref="P22:P30" si="19">N22-O22</f>
        <v>33800</v>
      </c>
      <c r="Q22" s="406">
        <f t="shared" ref="Q22:Q30" si="20">IF(H22="",0,ROUND(P22/H22,0))</f>
        <v>4829</v>
      </c>
      <c r="R22" s="406">
        <f t="shared" ref="R22:R30" si="21">IF(Q22=0,0,INT(Q22/$E$1*10))</f>
        <v>45</v>
      </c>
      <c r="S22" s="406">
        <f t="shared" ref="S22:S30" si="22">IF(R22=0,0,$D$43*K22*M22/$E$1*10)</f>
        <v>12.876190476190477</v>
      </c>
      <c r="T22" s="327"/>
      <c r="U22" s="99"/>
      <c r="V22" s="1"/>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row>
    <row r="23" spans="1:84" ht="14.1" customHeight="1">
      <c r="A23" s="758"/>
      <c r="B23" s="766" t="s">
        <v>582</v>
      </c>
      <c r="C23" s="767"/>
      <c r="D23" s="111" t="s">
        <v>494</v>
      </c>
      <c r="E23" s="112">
        <v>1</v>
      </c>
      <c r="F23" s="112"/>
      <c r="G23" s="122"/>
      <c r="H23" s="112">
        <v>7</v>
      </c>
      <c r="I23" s="123">
        <v>1</v>
      </c>
      <c r="J23" s="201">
        <v>556000</v>
      </c>
      <c r="K23" s="396">
        <f t="shared" si="15"/>
        <v>556000</v>
      </c>
      <c r="L23" s="398">
        <f t="shared" si="16"/>
        <v>556000</v>
      </c>
      <c r="M23" s="123">
        <v>0.33</v>
      </c>
      <c r="N23" s="406">
        <f t="shared" si="17"/>
        <v>183480</v>
      </c>
      <c r="O23" s="406">
        <f t="shared" si="18"/>
        <v>0</v>
      </c>
      <c r="P23" s="407">
        <f t="shared" si="19"/>
        <v>183480</v>
      </c>
      <c r="Q23" s="406">
        <f t="shared" si="20"/>
        <v>26211</v>
      </c>
      <c r="R23" s="406">
        <f t="shared" si="21"/>
        <v>249</v>
      </c>
      <c r="S23" s="406">
        <f t="shared" si="22"/>
        <v>69.897142857142867</v>
      </c>
      <c r="T23" s="327"/>
      <c r="U23" s="99"/>
      <c r="V23" s="1"/>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row>
    <row r="24" spans="1:84" ht="14.1" customHeight="1">
      <c r="A24" s="758"/>
      <c r="B24" s="766" t="s">
        <v>501</v>
      </c>
      <c r="C24" s="767"/>
      <c r="D24" s="111" t="s">
        <v>495</v>
      </c>
      <c r="E24" s="112">
        <v>1</v>
      </c>
      <c r="F24" s="112" t="s">
        <v>286</v>
      </c>
      <c r="G24" s="122"/>
      <c r="H24" s="112">
        <v>7</v>
      </c>
      <c r="I24" s="123">
        <v>1</v>
      </c>
      <c r="J24" s="201">
        <v>6258000</v>
      </c>
      <c r="K24" s="396">
        <f t="shared" si="15"/>
        <v>6258000</v>
      </c>
      <c r="L24" s="398">
        <f t="shared" si="16"/>
        <v>6258000</v>
      </c>
      <c r="M24" s="123">
        <v>0.33</v>
      </c>
      <c r="N24" s="406">
        <f t="shared" si="17"/>
        <v>2065140</v>
      </c>
      <c r="O24" s="406">
        <f t="shared" si="18"/>
        <v>0</v>
      </c>
      <c r="P24" s="407">
        <f t="shared" si="19"/>
        <v>2065140</v>
      </c>
      <c r="Q24" s="406">
        <f t="shared" si="20"/>
        <v>295020</v>
      </c>
      <c r="R24" s="406">
        <f t="shared" si="21"/>
        <v>2809</v>
      </c>
      <c r="S24" s="406">
        <f t="shared" si="22"/>
        <v>786.72000000000014</v>
      </c>
      <c r="T24" s="327"/>
      <c r="U24" s="99"/>
      <c r="V24" s="1"/>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row>
    <row r="25" spans="1:84" ht="14.1" customHeight="1">
      <c r="A25" s="758"/>
      <c r="B25" s="766" t="s">
        <v>502</v>
      </c>
      <c r="C25" s="767"/>
      <c r="D25" s="111"/>
      <c r="E25" s="112">
        <v>1</v>
      </c>
      <c r="F25" s="112" t="s">
        <v>286</v>
      </c>
      <c r="G25" s="122"/>
      <c r="H25" s="112">
        <v>7</v>
      </c>
      <c r="I25" s="123">
        <v>1</v>
      </c>
      <c r="J25" s="201">
        <v>2600000</v>
      </c>
      <c r="K25" s="396">
        <f t="shared" si="15"/>
        <v>2600000</v>
      </c>
      <c r="L25" s="398">
        <f t="shared" si="16"/>
        <v>2600000</v>
      </c>
      <c r="M25" s="123">
        <v>0.2</v>
      </c>
      <c r="N25" s="406">
        <f t="shared" si="17"/>
        <v>520000</v>
      </c>
      <c r="O25" s="406">
        <f t="shared" si="18"/>
        <v>0</v>
      </c>
      <c r="P25" s="407">
        <f t="shared" si="19"/>
        <v>520000</v>
      </c>
      <c r="Q25" s="406">
        <f t="shared" si="20"/>
        <v>74286</v>
      </c>
      <c r="R25" s="406">
        <f t="shared" si="21"/>
        <v>707</v>
      </c>
      <c r="S25" s="406">
        <f t="shared" si="22"/>
        <v>198.0952380952381</v>
      </c>
      <c r="T25" s="327"/>
      <c r="U25" s="99"/>
      <c r="V25" s="1"/>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row>
    <row r="26" spans="1:84" ht="14.1" customHeight="1">
      <c r="A26" s="758"/>
      <c r="B26" s="766" t="s">
        <v>503</v>
      </c>
      <c r="C26" s="767"/>
      <c r="D26" s="111" t="s">
        <v>496</v>
      </c>
      <c r="E26" s="112">
        <v>1</v>
      </c>
      <c r="F26" s="112" t="s">
        <v>286</v>
      </c>
      <c r="G26" s="122"/>
      <c r="H26" s="112">
        <v>7</v>
      </c>
      <c r="I26" s="123">
        <v>1</v>
      </c>
      <c r="J26" s="201">
        <v>1200000</v>
      </c>
      <c r="K26" s="396">
        <f t="shared" si="15"/>
        <v>1200000</v>
      </c>
      <c r="L26" s="398">
        <f t="shared" si="16"/>
        <v>1200000</v>
      </c>
      <c r="M26" s="123">
        <v>0.2</v>
      </c>
      <c r="N26" s="406">
        <f t="shared" si="17"/>
        <v>240000</v>
      </c>
      <c r="O26" s="406">
        <f t="shared" si="18"/>
        <v>0</v>
      </c>
      <c r="P26" s="407">
        <f t="shared" si="19"/>
        <v>240000</v>
      </c>
      <c r="Q26" s="406">
        <f t="shared" si="20"/>
        <v>34286</v>
      </c>
      <c r="R26" s="406">
        <f t="shared" si="21"/>
        <v>326</v>
      </c>
      <c r="S26" s="406">
        <f t="shared" si="22"/>
        <v>91.428571428571416</v>
      </c>
      <c r="T26" s="327"/>
      <c r="U26" s="99"/>
      <c r="V26" s="1"/>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row>
    <row r="27" spans="1:84" ht="14.1" customHeight="1">
      <c r="A27" s="758"/>
      <c r="B27" s="766" t="s">
        <v>504</v>
      </c>
      <c r="C27" s="767"/>
      <c r="D27" s="111"/>
      <c r="E27" s="112">
        <v>1</v>
      </c>
      <c r="F27" s="112"/>
      <c r="G27" s="122"/>
      <c r="H27" s="112">
        <v>7</v>
      </c>
      <c r="I27" s="123">
        <v>1</v>
      </c>
      <c r="J27" s="201">
        <v>658000</v>
      </c>
      <c r="K27" s="396">
        <f t="shared" si="15"/>
        <v>658000</v>
      </c>
      <c r="L27" s="398">
        <f t="shared" si="16"/>
        <v>658000</v>
      </c>
      <c r="M27" s="123">
        <v>0.2</v>
      </c>
      <c r="N27" s="406">
        <f t="shared" si="17"/>
        <v>131600</v>
      </c>
      <c r="O27" s="406">
        <f t="shared" si="18"/>
        <v>0</v>
      </c>
      <c r="P27" s="407">
        <f t="shared" si="19"/>
        <v>131600</v>
      </c>
      <c r="Q27" s="406">
        <f t="shared" si="20"/>
        <v>18800</v>
      </c>
      <c r="R27" s="406">
        <f t="shared" si="21"/>
        <v>179</v>
      </c>
      <c r="S27" s="406">
        <f t="shared" si="22"/>
        <v>50.13333333333334</v>
      </c>
      <c r="T27" s="327"/>
      <c r="U27" s="99"/>
      <c r="V27" s="1"/>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row>
    <row r="28" spans="1:84" ht="14.1" customHeight="1">
      <c r="A28" s="758"/>
      <c r="B28" s="766" t="s">
        <v>505</v>
      </c>
      <c r="C28" s="767"/>
      <c r="D28" s="111"/>
      <c r="E28" s="112">
        <v>1</v>
      </c>
      <c r="F28" s="112"/>
      <c r="G28" s="122"/>
      <c r="H28" s="112">
        <v>7</v>
      </c>
      <c r="I28" s="123">
        <v>1</v>
      </c>
      <c r="J28" s="201">
        <v>368000</v>
      </c>
      <c r="K28" s="396">
        <f t="shared" si="15"/>
        <v>368000</v>
      </c>
      <c r="L28" s="398">
        <f t="shared" si="16"/>
        <v>368000</v>
      </c>
      <c r="M28" s="123">
        <v>0.2</v>
      </c>
      <c r="N28" s="406">
        <f t="shared" si="17"/>
        <v>73600</v>
      </c>
      <c r="O28" s="406">
        <f t="shared" si="18"/>
        <v>0</v>
      </c>
      <c r="P28" s="407">
        <f t="shared" si="19"/>
        <v>73600</v>
      </c>
      <c r="Q28" s="406">
        <f t="shared" si="20"/>
        <v>10514</v>
      </c>
      <c r="R28" s="406">
        <f t="shared" si="21"/>
        <v>100</v>
      </c>
      <c r="S28" s="406">
        <f t="shared" si="22"/>
        <v>28.038095238095238</v>
      </c>
      <c r="T28" s="327"/>
      <c r="U28" s="99"/>
      <c r="V28" s="1"/>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row>
    <row r="29" spans="1:84" ht="14.1" customHeight="1">
      <c r="A29" s="757"/>
      <c r="B29" s="766" t="s">
        <v>505</v>
      </c>
      <c r="C29" s="767"/>
      <c r="D29" s="111"/>
      <c r="E29" s="112">
        <v>1</v>
      </c>
      <c r="F29" s="112"/>
      <c r="G29" s="122"/>
      <c r="H29" s="112">
        <v>7</v>
      </c>
      <c r="I29" s="123">
        <v>1</v>
      </c>
      <c r="J29" s="117">
        <v>583000</v>
      </c>
      <c r="K29" s="396">
        <f t="shared" si="15"/>
        <v>583000</v>
      </c>
      <c r="L29" s="398">
        <f t="shared" si="16"/>
        <v>583000</v>
      </c>
      <c r="M29" s="123">
        <v>0.2</v>
      </c>
      <c r="N29" s="406">
        <f t="shared" si="17"/>
        <v>116600</v>
      </c>
      <c r="O29" s="406">
        <f t="shared" si="18"/>
        <v>0</v>
      </c>
      <c r="P29" s="407">
        <f t="shared" si="19"/>
        <v>116600</v>
      </c>
      <c r="Q29" s="406">
        <f t="shared" si="20"/>
        <v>16657</v>
      </c>
      <c r="R29" s="406">
        <f t="shared" si="21"/>
        <v>158</v>
      </c>
      <c r="S29" s="406">
        <f t="shared" si="22"/>
        <v>44.419047619047618</v>
      </c>
      <c r="T29" s="327"/>
      <c r="U29" s="99"/>
      <c r="V29" s="1"/>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row>
    <row r="30" spans="1:84" ht="14.1" customHeight="1">
      <c r="A30" s="757"/>
      <c r="B30" s="766" t="s">
        <v>506</v>
      </c>
      <c r="C30" s="767"/>
      <c r="D30" s="111"/>
      <c r="E30" s="112">
        <v>1</v>
      </c>
      <c r="F30" s="112" t="s">
        <v>286</v>
      </c>
      <c r="G30" s="122"/>
      <c r="H30" s="112">
        <v>4</v>
      </c>
      <c r="I30" s="123">
        <v>1</v>
      </c>
      <c r="J30" s="117">
        <v>1200000</v>
      </c>
      <c r="K30" s="396">
        <f t="shared" si="15"/>
        <v>1200000</v>
      </c>
      <c r="L30" s="398">
        <f t="shared" si="16"/>
        <v>1200000</v>
      </c>
      <c r="M30" s="123">
        <v>0.2</v>
      </c>
      <c r="N30" s="406">
        <f t="shared" si="17"/>
        <v>240000</v>
      </c>
      <c r="O30" s="406">
        <f t="shared" si="18"/>
        <v>0</v>
      </c>
      <c r="P30" s="407">
        <f t="shared" si="19"/>
        <v>240000</v>
      </c>
      <c r="Q30" s="406">
        <f t="shared" si="20"/>
        <v>60000</v>
      </c>
      <c r="R30" s="406">
        <f t="shared" si="21"/>
        <v>571</v>
      </c>
      <c r="S30" s="406">
        <f t="shared" si="22"/>
        <v>91.428571428571416</v>
      </c>
      <c r="T30" s="327"/>
      <c r="U30" s="99"/>
      <c r="V30" s="1"/>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row>
    <row r="31" spans="1:84" ht="14.1" customHeight="1">
      <c r="A31" s="757"/>
      <c r="B31" s="766" t="s">
        <v>508</v>
      </c>
      <c r="C31" s="767"/>
      <c r="D31" s="111"/>
      <c r="E31" s="112">
        <v>1</v>
      </c>
      <c r="F31" s="112"/>
      <c r="G31" s="122"/>
      <c r="H31" s="112">
        <v>7</v>
      </c>
      <c r="I31" s="123">
        <v>1</v>
      </c>
      <c r="J31" s="117">
        <v>313950</v>
      </c>
      <c r="K31" s="396">
        <f t="shared" si="15"/>
        <v>313950</v>
      </c>
      <c r="L31" s="398">
        <f t="shared" si="16"/>
        <v>313950</v>
      </c>
      <c r="M31" s="123">
        <v>1</v>
      </c>
      <c r="N31" s="406">
        <f t="shared" ref="N31:N33" si="23">IF(I31="",INT(K31*M31),INT(K31*I31*M31))</f>
        <v>313950</v>
      </c>
      <c r="O31" s="406">
        <f t="shared" ref="O31:O33" si="24">N31*(G31)</f>
        <v>0</v>
      </c>
      <c r="P31" s="407">
        <f t="shared" ref="P31:P33" si="25">N31-O31</f>
        <v>313950</v>
      </c>
      <c r="Q31" s="406">
        <f t="shared" ref="Q31:Q33" si="26">IF(H31="",0,ROUND(P31/H31,0))</f>
        <v>44850</v>
      </c>
      <c r="R31" s="406">
        <f t="shared" ref="R31:R33" si="27">IF(Q31=0,0,INT(Q31/$E$1*10))</f>
        <v>427</v>
      </c>
      <c r="S31" s="406">
        <f t="shared" si="13"/>
        <v>119.60000000000001</v>
      </c>
      <c r="T31" s="327"/>
      <c r="U31" s="99"/>
      <c r="V31" s="1"/>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row>
    <row r="32" spans="1:84" ht="14.1" customHeight="1">
      <c r="A32" s="757"/>
      <c r="B32" s="766" t="s">
        <v>509</v>
      </c>
      <c r="C32" s="767"/>
      <c r="D32" s="111"/>
      <c r="E32" s="112">
        <v>1</v>
      </c>
      <c r="F32" s="112"/>
      <c r="G32" s="122"/>
      <c r="H32" s="112">
        <v>7</v>
      </c>
      <c r="I32" s="123">
        <v>1</v>
      </c>
      <c r="J32" s="117">
        <v>908250</v>
      </c>
      <c r="K32" s="401">
        <f t="shared" ref="K32:K36" si="28">J32*E32</f>
        <v>908250</v>
      </c>
      <c r="L32" s="402">
        <f t="shared" ref="L32:L33" si="29">IF(I32="",K32,I32*K32)</f>
        <v>908250</v>
      </c>
      <c r="M32" s="123">
        <v>1</v>
      </c>
      <c r="N32" s="406">
        <f t="shared" si="23"/>
        <v>908250</v>
      </c>
      <c r="O32" s="406">
        <f t="shared" si="24"/>
        <v>0</v>
      </c>
      <c r="P32" s="407">
        <f t="shared" si="25"/>
        <v>908250</v>
      </c>
      <c r="Q32" s="406">
        <f t="shared" si="26"/>
        <v>129750</v>
      </c>
      <c r="R32" s="406">
        <f t="shared" si="27"/>
        <v>1235</v>
      </c>
      <c r="S32" s="406">
        <f t="shared" si="13"/>
        <v>346</v>
      </c>
      <c r="T32" s="327"/>
      <c r="U32" s="99"/>
      <c r="V32" s="1"/>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row>
    <row r="33" spans="1:84" ht="14.1" customHeight="1">
      <c r="A33" s="757"/>
      <c r="B33" s="766"/>
      <c r="C33" s="767"/>
      <c r="D33" s="111"/>
      <c r="E33" s="112"/>
      <c r="F33" s="112"/>
      <c r="G33" s="122"/>
      <c r="H33" s="112"/>
      <c r="I33" s="123"/>
      <c r="J33" s="117"/>
      <c r="K33" s="401">
        <f t="shared" si="28"/>
        <v>0</v>
      </c>
      <c r="L33" s="402">
        <f t="shared" si="29"/>
        <v>0</v>
      </c>
      <c r="M33" s="123"/>
      <c r="N33" s="406">
        <f t="shared" si="23"/>
        <v>0</v>
      </c>
      <c r="O33" s="406">
        <f t="shared" si="24"/>
        <v>0</v>
      </c>
      <c r="P33" s="407">
        <f t="shared" si="25"/>
        <v>0</v>
      </c>
      <c r="Q33" s="406">
        <f t="shared" si="26"/>
        <v>0</v>
      </c>
      <c r="R33" s="406">
        <f t="shared" si="27"/>
        <v>0</v>
      </c>
      <c r="S33" s="406">
        <f t="shared" si="13"/>
        <v>0</v>
      </c>
      <c r="T33" s="327"/>
      <c r="U33" s="99"/>
      <c r="V33" s="1"/>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row>
    <row r="34" spans="1:84" ht="14.1" customHeight="1">
      <c r="A34" s="759"/>
      <c r="B34" s="768" t="s">
        <v>38</v>
      </c>
      <c r="C34" s="769"/>
      <c r="D34" s="428"/>
      <c r="E34" s="429"/>
      <c r="F34" s="429"/>
      <c r="G34" s="436"/>
      <c r="H34" s="433">
        <f>IF(P34&gt;0,P34/Q34,"")</f>
        <v>6.7785661740283576</v>
      </c>
      <c r="I34" s="434"/>
      <c r="J34" s="432"/>
      <c r="K34" s="404">
        <f>SUM(K20:K33)</f>
        <v>18233650</v>
      </c>
      <c r="L34" s="403">
        <f>SUM(L20:L33)</f>
        <v>18233650</v>
      </c>
      <c r="M34" s="428"/>
      <c r="N34" s="403">
        <f t="shared" ref="N34:S34" si="30">SUM(N20:N33)</f>
        <v>5510310</v>
      </c>
      <c r="O34" s="403">
        <f t="shared" si="30"/>
        <v>0</v>
      </c>
      <c r="P34" s="403">
        <f t="shared" si="30"/>
        <v>5510310</v>
      </c>
      <c r="Q34" s="403">
        <f t="shared" si="30"/>
        <v>812902</v>
      </c>
      <c r="R34" s="403">
        <f t="shared" si="30"/>
        <v>7735</v>
      </c>
      <c r="S34" s="403">
        <f t="shared" si="30"/>
        <v>2099.1657142857139</v>
      </c>
      <c r="T34" s="119"/>
      <c r="U34" s="99"/>
      <c r="V34" s="1"/>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row>
    <row r="35" spans="1:84" ht="14.1" customHeight="1">
      <c r="A35" s="760" t="s">
        <v>37</v>
      </c>
      <c r="B35" s="761"/>
      <c r="C35" s="761"/>
      <c r="D35" s="111"/>
      <c r="E35" s="112"/>
      <c r="F35" s="112"/>
      <c r="G35" s="122"/>
      <c r="H35" s="112"/>
      <c r="I35" s="123"/>
      <c r="J35" s="117"/>
      <c r="K35" s="396">
        <f t="shared" si="28"/>
        <v>0</v>
      </c>
      <c r="L35" s="398">
        <f>K35</f>
        <v>0</v>
      </c>
      <c r="M35" s="123"/>
      <c r="N35" s="554">
        <f t="shared" ref="N35:N36" si="31">IF(I35="",INT(K35*M35),INT(K35*I35*M35))</f>
        <v>0</v>
      </c>
      <c r="O35" s="406">
        <f>N35*(G35)</f>
        <v>0</v>
      </c>
      <c r="P35" s="407">
        <f>N35-O35</f>
        <v>0</v>
      </c>
      <c r="Q35" s="406">
        <f>IF(H35="",0,ROUND(P35/H35,0))</f>
        <v>0</v>
      </c>
      <c r="R35" s="406">
        <f>IF(Q35=0,0,INT(Q35/$E$1*10))</f>
        <v>0</v>
      </c>
      <c r="S35" s="406"/>
      <c r="T35" s="327"/>
      <c r="U35" s="99"/>
      <c r="V35" s="1"/>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row>
    <row r="36" spans="1:84" ht="14.1" customHeight="1">
      <c r="A36" s="760"/>
      <c r="B36" s="762"/>
      <c r="C36" s="762"/>
      <c r="D36" s="111"/>
      <c r="E36" s="112"/>
      <c r="F36" s="112"/>
      <c r="G36" s="122"/>
      <c r="H36" s="112"/>
      <c r="I36" s="123"/>
      <c r="J36" s="117"/>
      <c r="K36" s="396">
        <f t="shared" si="28"/>
        <v>0</v>
      </c>
      <c r="L36" s="398">
        <f>K36</f>
        <v>0</v>
      </c>
      <c r="M36" s="123"/>
      <c r="N36" s="554">
        <f t="shared" si="31"/>
        <v>0</v>
      </c>
      <c r="O36" s="406">
        <f>N36*(G36)</f>
        <v>0</v>
      </c>
      <c r="P36" s="407">
        <f>N36-O36</f>
        <v>0</v>
      </c>
      <c r="Q36" s="406">
        <f>IF(H36="",0,ROUND(P36/H36,0))</f>
        <v>0</v>
      </c>
      <c r="R36" s="406">
        <f>IF(Q36=0,0,INT(Q36/$E$1*10))</f>
        <v>0</v>
      </c>
      <c r="S36" s="406"/>
      <c r="T36" s="327"/>
      <c r="U36" s="99"/>
      <c r="V36" s="1"/>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row>
    <row r="37" spans="1:84" ht="14.1" customHeight="1">
      <c r="A37" s="760"/>
      <c r="B37" s="768" t="s">
        <v>589</v>
      </c>
      <c r="C37" s="769"/>
      <c r="D37" s="428"/>
      <c r="E37" s="429"/>
      <c r="F37" s="429"/>
      <c r="G37" s="428"/>
      <c r="H37" s="437" t="str">
        <f>IF(P37&gt;0,P37/Q37,"")</f>
        <v/>
      </c>
      <c r="I37" s="434"/>
      <c r="J37" s="432"/>
      <c r="K37" s="399"/>
      <c r="L37" s="403">
        <f>L36+L35</f>
        <v>0</v>
      </c>
      <c r="M37" s="428"/>
      <c r="N37" s="403">
        <f>N36+N35</f>
        <v>0</v>
      </c>
      <c r="O37" s="403">
        <f>O36+O35</f>
        <v>0</v>
      </c>
      <c r="P37" s="403">
        <f>P36+P35</f>
        <v>0</v>
      </c>
      <c r="Q37" s="403">
        <f>Q36+Q35</f>
        <v>0</v>
      </c>
      <c r="R37" s="403">
        <f>R36+R35</f>
        <v>0</v>
      </c>
      <c r="S37" s="403"/>
      <c r="T37" s="119"/>
      <c r="U37" s="99"/>
      <c r="V37" s="1"/>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row>
    <row r="38" spans="1:84" ht="14.1" customHeight="1">
      <c r="A38" s="124"/>
      <c r="B38" s="438"/>
      <c r="C38" s="428" t="s">
        <v>39</v>
      </c>
      <c r="D38" s="428"/>
      <c r="E38" s="428"/>
      <c r="F38" s="428"/>
      <c r="G38" s="428"/>
      <c r="H38" s="428"/>
      <c r="I38" s="428"/>
      <c r="J38" s="432"/>
      <c r="K38" s="399">
        <f>K37+K34+K19+K8</f>
        <v>21953650</v>
      </c>
      <c r="L38" s="405">
        <f>L37+L34+L19+L8</f>
        <v>21953650</v>
      </c>
      <c r="M38" s="439"/>
      <c r="N38" s="409">
        <f t="shared" ref="N38:S38" si="32">N37+N34+N19+N8</f>
        <v>6998310</v>
      </c>
      <c r="O38" s="409">
        <f t="shared" si="32"/>
        <v>0</v>
      </c>
      <c r="P38" s="409">
        <f t="shared" si="32"/>
        <v>6998310</v>
      </c>
      <c r="Q38" s="409">
        <f t="shared" si="32"/>
        <v>874902</v>
      </c>
      <c r="R38" s="409">
        <f t="shared" si="32"/>
        <v>8325</v>
      </c>
      <c r="S38" s="409">
        <f t="shared" si="32"/>
        <v>2240.8799999999997</v>
      </c>
      <c r="T38" s="125"/>
      <c r="U38" s="99"/>
      <c r="V38" s="1"/>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row>
    <row r="39" spans="1:84" ht="12" customHeight="1">
      <c r="C39" s="92"/>
      <c r="D39" s="92"/>
      <c r="E39" s="92"/>
      <c r="F39" s="92"/>
      <c r="J39" s="92"/>
      <c r="K39" s="92"/>
      <c r="L39" s="126">
        <f>L38-L37</f>
        <v>21953650</v>
      </c>
      <c r="M39" s="92"/>
      <c r="N39" s="127"/>
      <c r="O39" s="92"/>
      <c r="P39" s="126">
        <f>P34+P19+P8</f>
        <v>6998310</v>
      </c>
      <c r="Q39" s="126">
        <f>Q34+Q19+Q8</f>
        <v>874902</v>
      </c>
      <c r="R39" s="127"/>
      <c r="S39" s="127"/>
      <c r="T39" s="92"/>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row>
    <row r="40" spans="1:84" ht="6" customHeight="1">
      <c r="C40" s="92"/>
      <c r="D40" s="92"/>
      <c r="E40" s="92"/>
      <c r="F40" s="92"/>
      <c r="J40" s="92"/>
      <c r="K40" s="92"/>
      <c r="L40" s="92"/>
      <c r="M40" s="92"/>
      <c r="N40" s="92"/>
      <c r="O40" s="92"/>
      <c r="P40" s="92"/>
      <c r="Q40" s="92"/>
      <c r="R40" s="92"/>
      <c r="S40" s="92"/>
      <c r="T40" s="92"/>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row>
    <row r="41" spans="1:84" ht="13.5" customHeight="1">
      <c r="B41" s="414" t="s">
        <v>40</v>
      </c>
      <c r="C41" s="128"/>
      <c r="D41" s="129" t="s">
        <v>41</v>
      </c>
      <c r="E41" s="92"/>
      <c r="F41" s="130"/>
      <c r="G41" s="131"/>
      <c r="H41" s="47"/>
      <c r="I41" s="132" t="s">
        <v>42</v>
      </c>
      <c r="J41" s="133"/>
      <c r="K41" s="133"/>
      <c r="L41" s="134" t="s">
        <v>43</v>
      </c>
      <c r="M41" s="753" t="s">
        <v>44</v>
      </c>
      <c r="N41" s="753"/>
      <c r="O41" s="206" t="s">
        <v>45</v>
      </c>
      <c r="P41" s="92"/>
      <c r="Q41" s="135" t="s">
        <v>46</v>
      </c>
      <c r="R41" s="136"/>
      <c r="S41" s="92"/>
      <c r="T41" s="92"/>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row>
    <row r="42" spans="1:84" ht="13.5" customHeight="1">
      <c r="A42" s="47"/>
      <c r="B42" s="137" t="s">
        <v>47</v>
      </c>
      <c r="C42" s="138" t="s">
        <v>48</v>
      </c>
      <c r="D42" s="139">
        <v>0.01</v>
      </c>
      <c r="E42" s="47"/>
      <c r="F42" s="140"/>
      <c r="G42" s="131"/>
      <c r="H42" s="47"/>
      <c r="I42" s="141"/>
      <c r="J42" s="140" t="s">
        <v>49</v>
      </c>
      <c r="K42" s="142"/>
      <c r="L42" s="143">
        <f>(N38-O38)/2+O38</f>
        <v>3499155</v>
      </c>
      <c r="M42" s="207"/>
      <c r="N42" s="208">
        <f>((N34+N8-O34-O8)/2+O34+O8)</f>
        <v>3499155</v>
      </c>
      <c r="O42" s="208">
        <f>(N19-O19)/2+O19</f>
        <v>0</v>
      </c>
      <c r="P42" s="47"/>
      <c r="Q42" s="144" t="s">
        <v>50</v>
      </c>
      <c r="R42" s="145">
        <f>IF(P8=0,0,P8/Q8)</f>
        <v>24</v>
      </c>
      <c r="S42" s="47"/>
      <c r="T42" s="47"/>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row>
    <row r="43" spans="1:84" ht="13.5" customHeight="1">
      <c r="A43" s="47"/>
      <c r="B43" s="146" t="s">
        <v>51</v>
      </c>
      <c r="C43" s="147" t="s">
        <v>52</v>
      </c>
      <c r="D43" s="148">
        <v>0.04</v>
      </c>
      <c r="E43" s="47"/>
      <c r="F43" s="140"/>
      <c r="G43" s="131"/>
      <c r="H43" s="47"/>
      <c r="I43" s="141"/>
      <c r="J43" s="770" t="s">
        <v>53</v>
      </c>
      <c r="K43" s="771"/>
      <c r="L43" s="149">
        <v>0.5</v>
      </c>
      <c r="M43" s="209"/>
      <c r="N43" s="210">
        <f>L43</f>
        <v>0.5</v>
      </c>
      <c r="O43" s="210">
        <f>N43</f>
        <v>0.5</v>
      </c>
      <c r="P43" s="47"/>
      <c r="Q43" s="150" t="s">
        <v>45</v>
      </c>
      <c r="R43" s="151">
        <f>IF(P19=0,0,P19/Q19)</f>
        <v>0</v>
      </c>
      <c r="S43" s="47"/>
      <c r="T43" s="47"/>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row>
    <row r="44" spans="1:84" ht="13.5" customHeight="1">
      <c r="A44" s="47"/>
      <c r="B44" s="47"/>
      <c r="C44" s="47"/>
      <c r="D44" s="47"/>
      <c r="E44" s="47"/>
      <c r="F44" s="140"/>
      <c r="G44" s="131"/>
      <c r="H44" s="47"/>
      <c r="I44" s="141"/>
      <c r="J44" s="140" t="s">
        <v>54</v>
      </c>
      <c r="K44" s="140"/>
      <c r="L44" s="143">
        <f>L43*L42</f>
        <v>1749577.5</v>
      </c>
      <c r="M44" s="209"/>
      <c r="N44" s="211">
        <f>N43*N42</f>
        <v>1749577.5</v>
      </c>
      <c r="O44" s="211">
        <f>O43*O42</f>
        <v>0</v>
      </c>
      <c r="P44" s="47"/>
      <c r="Q44" s="150" t="s">
        <v>55</v>
      </c>
      <c r="R44" s="151">
        <f>IF(P34=0,0,P34/Q34)</f>
        <v>6.7785661740283576</v>
      </c>
      <c r="S44" s="47"/>
      <c r="T44" s="47"/>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row>
    <row r="45" spans="1:84" ht="13.5" customHeight="1">
      <c r="A45" s="47"/>
      <c r="B45" s="47"/>
      <c r="C45" s="47"/>
      <c r="D45" s="47"/>
      <c r="E45" s="47"/>
      <c r="F45" s="140"/>
      <c r="G45" s="131"/>
      <c r="H45" s="47"/>
      <c r="I45" s="141"/>
      <c r="J45" s="140" t="s">
        <v>56</v>
      </c>
      <c r="K45" s="140"/>
      <c r="L45" s="143">
        <f>IF($E$1=0,0,L44/$E$1*10)</f>
        <v>16662.642857142859</v>
      </c>
      <c r="M45" s="209"/>
      <c r="N45" s="212">
        <f>IF($E$1=0,0,N44/$E$1*10)</f>
        <v>16662.642857142859</v>
      </c>
      <c r="O45" s="212">
        <f>IF($E$1=0,0,O44/$E$1*10)</f>
        <v>0</v>
      </c>
      <c r="P45" s="47"/>
      <c r="Q45" s="152" t="s">
        <v>43</v>
      </c>
      <c r="R45" s="153">
        <f>IF(P37=0,0,(P38-P37)/(Q38-Q37))</f>
        <v>0</v>
      </c>
      <c r="S45" s="47"/>
      <c r="T45" s="47"/>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row>
    <row r="46" spans="1:84" ht="13.5" customHeight="1">
      <c r="A46" s="47"/>
      <c r="B46" s="47"/>
      <c r="C46" s="47"/>
      <c r="D46" s="47"/>
      <c r="E46" s="47"/>
      <c r="F46" s="140"/>
      <c r="G46" s="131"/>
      <c r="H46" s="47"/>
      <c r="I46" s="141"/>
      <c r="J46" s="140" t="s">
        <v>57</v>
      </c>
      <c r="K46" s="140"/>
      <c r="L46" s="154">
        <v>0.02</v>
      </c>
      <c r="M46" s="209"/>
      <c r="N46" s="210">
        <f>L46</f>
        <v>0.02</v>
      </c>
      <c r="O46" s="210">
        <f>N46</f>
        <v>0.02</v>
      </c>
      <c r="P46" s="47"/>
      <c r="Q46" s="47"/>
      <c r="R46" s="47"/>
      <c r="S46" s="47"/>
      <c r="T46" s="47"/>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row>
    <row r="47" spans="1:84" ht="13.5" customHeight="1">
      <c r="A47" s="47"/>
      <c r="B47" s="47"/>
      <c r="C47" s="47"/>
      <c r="D47" s="47"/>
      <c r="E47" s="47"/>
      <c r="F47" s="140"/>
      <c r="G47" s="131"/>
      <c r="H47" s="47"/>
      <c r="I47" s="155"/>
      <c r="J47" s="156" t="s">
        <v>58</v>
      </c>
      <c r="K47" s="156"/>
      <c r="L47" s="157">
        <f>INT(L46*L45)</f>
        <v>333</v>
      </c>
      <c r="M47" s="213"/>
      <c r="N47" s="214">
        <f>INT(N46*N45)</f>
        <v>333</v>
      </c>
      <c r="O47" s="214">
        <f>INT(O46*O45)</f>
        <v>0</v>
      </c>
      <c r="P47" s="47"/>
      <c r="Q47" s="47"/>
      <c r="R47" s="47"/>
      <c r="S47" s="47"/>
      <c r="T47" s="47"/>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row>
    <row r="48" spans="1:84" ht="13.5" customHeight="1">
      <c r="A48" s="99"/>
      <c r="B48" s="99"/>
      <c r="C48" s="99"/>
      <c r="D48" s="99"/>
      <c r="E48" s="99"/>
      <c r="F48" s="99"/>
      <c r="J48" s="99"/>
      <c r="K48" s="99"/>
      <c r="L48" s="99"/>
      <c r="M48" s="22"/>
      <c r="N48" s="22"/>
      <c r="O48" s="22"/>
      <c r="P48" s="22"/>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row>
    <row r="49" spans="1:41" ht="13.5" customHeight="1">
      <c r="A49" s="99"/>
      <c r="B49" s="99"/>
      <c r="C49" s="99"/>
      <c r="D49" s="99"/>
      <c r="E49" s="99"/>
      <c r="F49" s="99"/>
      <c r="J49" s="99"/>
      <c r="K49" s="99"/>
      <c r="L49" s="99"/>
      <c r="M49" s="22"/>
      <c r="N49" s="22"/>
      <c r="O49" s="22"/>
      <c r="P49" s="22"/>
      <c r="Q49" s="99"/>
      <c r="R49" s="99"/>
      <c r="S49" s="99"/>
      <c r="T49" s="99"/>
      <c r="U49" s="99"/>
      <c r="V49" s="99"/>
      <c r="W49" s="99"/>
      <c r="X49" s="99"/>
      <c r="Y49" s="99"/>
      <c r="Z49" s="99"/>
      <c r="AA49" s="99"/>
      <c r="AB49" s="99"/>
      <c r="AC49" s="99"/>
    </row>
    <row r="50" spans="1:41" ht="13.5" customHeight="1">
      <c r="A50" s="99"/>
      <c r="B50" s="99"/>
      <c r="C50" s="99"/>
      <c r="D50" s="99"/>
      <c r="E50" s="99"/>
      <c r="F50" s="99"/>
      <c r="J50" s="99"/>
      <c r="K50" s="99"/>
      <c r="L50" s="99"/>
      <c r="M50" s="22"/>
      <c r="N50" s="22"/>
      <c r="O50" s="22"/>
      <c r="P50" s="22"/>
      <c r="Q50" s="99"/>
      <c r="R50" s="99"/>
      <c r="S50" s="99"/>
      <c r="T50" s="99"/>
      <c r="U50" s="99"/>
      <c r="V50" s="99"/>
      <c r="W50" s="99"/>
      <c r="X50" s="99"/>
      <c r="Y50" s="99"/>
      <c r="Z50" s="99"/>
      <c r="AA50" s="99"/>
      <c r="AB50" s="99"/>
      <c r="AC50" s="99"/>
    </row>
    <row r="51" spans="1:41" ht="13.5" customHeight="1">
      <c r="A51" s="99"/>
      <c r="B51" s="99"/>
      <c r="C51" s="99"/>
      <c r="D51" s="99"/>
      <c r="E51" s="99"/>
      <c r="F51" s="99"/>
      <c r="J51" s="99"/>
      <c r="K51" s="99"/>
      <c r="L51" s="99"/>
      <c r="M51" s="22"/>
      <c r="N51" s="22"/>
      <c r="O51" s="22"/>
      <c r="P51" s="22"/>
      <c r="Q51" s="99"/>
      <c r="R51" s="99"/>
      <c r="S51" s="99"/>
      <c r="T51" s="99"/>
      <c r="U51" s="99"/>
      <c r="V51" s="99"/>
      <c r="W51" s="99"/>
      <c r="X51" s="99"/>
      <c r="Y51" s="99"/>
      <c r="Z51" s="99"/>
      <c r="AA51" s="99"/>
      <c r="AB51" s="99"/>
      <c r="AC51" s="99"/>
    </row>
    <row r="52" spans="1:41" ht="13.5" customHeight="1">
      <c r="A52" s="99"/>
      <c r="B52" s="99"/>
      <c r="C52" s="99"/>
      <c r="D52" s="99"/>
      <c r="E52" s="99"/>
      <c r="F52" s="99"/>
      <c r="J52" s="99"/>
      <c r="K52" s="99"/>
      <c r="L52" s="99"/>
      <c r="M52" s="22"/>
      <c r="N52" s="22"/>
      <c r="O52" s="22"/>
      <c r="P52" s="22"/>
      <c r="Q52" s="99"/>
      <c r="R52" s="99"/>
      <c r="S52" s="99"/>
      <c r="T52" s="99"/>
      <c r="U52" s="99"/>
      <c r="V52" s="99"/>
      <c r="W52" s="99"/>
      <c r="X52" s="99"/>
      <c r="Y52" s="99"/>
      <c r="Z52" s="99"/>
      <c r="AA52" s="99"/>
      <c r="AB52" s="99"/>
      <c r="AC52" s="99"/>
    </row>
    <row r="53" spans="1:41" ht="13.5" customHeight="1">
      <c r="A53" s="99"/>
      <c r="B53" s="99"/>
      <c r="C53" s="99"/>
      <c r="D53" s="99"/>
      <c r="E53" s="99"/>
      <c r="F53" s="99"/>
      <c r="J53" s="99"/>
      <c r="K53" s="99"/>
      <c r="L53" s="99"/>
      <c r="M53" s="22"/>
      <c r="N53" s="22"/>
      <c r="O53" s="22"/>
      <c r="P53" s="22"/>
      <c r="Q53" s="99"/>
      <c r="R53" s="99"/>
      <c r="S53" s="99"/>
      <c r="T53" s="99"/>
      <c r="U53" s="99"/>
      <c r="V53" s="99"/>
      <c r="W53" s="99"/>
      <c r="X53" s="99"/>
      <c r="Y53" s="99"/>
      <c r="Z53" s="99"/>
      <c r="AA53" s="99"/>
      <c r="AB53" s="99"/>
      <c r="AC53" s="99"/>
    </row>
    <row r="54" spans="1:41" ht="13.5" customHeight="1">
      <c r="A54" s="99"/>
      <c r="B54" s="99"/>
      <c r="C54" s="99"/>
      <c r="D54" s="99"/>
      <c r="E54" s="99"/>
      <c r="F54" s="99"/>
      <c r="J54" s="99"/>
      <c r="K54" s="99"/>
      <c r="L54" s="99"/>
      <c r="M54" s="22"/>
      <c r="N54" s="22"/>
      <c r="O54" s="22"/>
      <c r="P54" s="22"/>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row>
    <row r="55" spans="1:41" ht="13.5" customHeight="1">
      <c r="A55" s="99"/>
      <c r="B55" s="99"/>
      <c r="C55" s="99"/>
      <c r="D55" s="99"/>
      <c r="E55" s="99"/>
      <c r="F55" s="99"/>
      <c r="J55" s="99"/>
      <c r="K55" s="99"/>
      <c r="L55" s="99"/>
      <c r="M55" s="22"/>
      <c r="N55" s="22"/>
      <c r="O55" s="22"/>
      <c r="P55" s="22"/>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row>
    <row r="56" spans="1:41" ht="13.5" customHeight="1">
      <c r="A56" s="99"/>
      <c r="B56" s="99"/>
      <c r="C56" s="99"/>
      <c r="D56" s="99"/>
      <c r="E56" s="99"/>
      <c r="F56" s="99"/>
      <c r="J56" s="99"/>
      <c r="K56" s="99"/>
      <c r="L56" s="99"/>
      <c r="M56" s="22"/>
      <c r="N56" s="22"/>
      <c r="O56" s="22"/>
      <c r="P56" s="22"/>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row>
    <row r="57" spans="1:41" ht="13.5" customHeight="1">
      <c r="A57" s="99"/>
      <c r="B57" s="99"/>
      <c r="C57" s="99"/>
      <c r="D57" s="99"/>
      <c r="E57" s="99"/>
      <c r="F57" s="99"/>
      <c r="J57" s="99"/>
      <c r="K57" s="99"/>
      <c r="L57" s="99"/>
      <c r="M57" s="22"/>
      <c r="N57" s="22"/>
      <c r="O57" s="22"/>
      <c r="P57" s="22"/>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row>
    <row r="58" spans="1:41" ht="13.5" customHeight="1">
      <c r="A58" s="99"/>
      <c r="B58" s="99"/>
      <c r="C58" s="99"/>
      <c r="D58" s="99"/>
      <c r="E58" s="99"/>
      <c r="F58" s="99"/>
      <c r="J58" s="99"/>
      <c r="K58" s="99"/>
      <c r="L58" s="99"/>
      <c r="M58" s="22"/>
      <c r="N58" s="22"/>
      <c r="O58" s="22"/>
      <c r="P58" s="22"/>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row>
    <row r="59" spans="1:41" ht="14.1" customHeight="1">
      <c r="A59" s="99"/>
      <c r="B59" s="99"/>
      <c r="C59" s="99"/>
      <c r="D59" s="99"/>
      <c r="E59" s="99"/>
      <c r="F59" s="99"/>
      <c r="J59" s="99"/>
      <c r="K59" s="99"/>
      <c r="L59" s="99"/>
      <c r="M59" s="22"/>
      <c r="N59" s="22"/>
      <c r="O59" s="22"/>
      <c r="P59" s="22"/>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41" ht="14.1" customHeight="1">
      <c r="A60" s="99"/>
      <c r="B60" s="99"/>
      <c r="C60" s="99"/>
      <c r="D60" s="99"/>
      <c r="E60" s="99"/>
      <c r="F60" s="99"/>
      <c r="J60" s="99"/>
      <c r="K60" s="99"/>
      <c r="L60" s="99"/>
      <c r="M60" s="22"/>
      <c r="N60" s="22"/>
      <c r="O60" s="22"/>
      <c r="P60" s="22"/>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row>
    <row r="61" spans="1:41" ht="14.1" customHeight="1">
      <c r="A61" s="99"/>
      <c r="B61" s="99"/>
      <c r="C61" s="99"/>
      <c r="D61" s="99"/>
      <c r="E61" s="99"/>
      <c r="F61" s="99"/>
      <c r="J61" s="99"/>
      <c r="K61" s="99"/>
      <c r="L61" s="99"/>
      <c r="M61" s="22"/>
      <c r="N61" s="22"/>
      <c r="O61" s="22"/>
      <c r="P61" s="22"/>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row>
    <row r="62" spans="1:41" ht="14.1" customHeight="1">
      <c r="A62" s="99"/>
      <c r="B62" s="99"/>
      <c r="C62" s="99"/>
      <c r="D62" s="99"/>
      <c r="E62" s="99"/>
      <c r="F62" s="99"/>
      <c r="J62" s="99"/>
      <c r="K62" s="99"/>
      <c r="L62" s="99"/>
      <c r="M62" s="22"/>
      <c r="N62" s="22"/>
      <c r="O62" s="22"/>
      <c r="P62" s="22"/>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row>
    <row r="63" spans="1:41" ht="14.1" customHeight="1">
      <c r="A63" s="99"/>
      <c r="B63" s="99"/>
      <c r="C63" s="99"/>
      <c r="D63" s="99"/>
      <c r="E63" s="99"/>
      <c r="F63" s="99"/>
      <c r="J63" s="99"/>
      <c r="K63" s="99"/>
      <c r="L63" s="99"/>
      <c r="M63" s="22"/>
      <c r="N63" s="22"/>
      <c r="O63" s="22"/>
      <c r="P63" s="22"/>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row>
    <row r="64" spans="1:41" ht="14.1" customHeight="1">
      <c r="A64" s="99"/>
      <c r="B64" s="99"/>
      <c r="C64" s="99"/>
      <c r="D64" s="99"/>
      <c r="E64" s="99"/>
      <c r="F64" s="99"/>
      <c r="J64" s="99"/>
      <c r="K64" s="99"/>
      <c r="L64" s="99"/>
      <c r="M64" s="22"/>
      <c r="N64" s="22"/>
      <c r="O64" s="22"/>
      <c r="P64" s="22"/>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row>
    <row r="65" spans="1:41" ht="14.1" customHeight="1">
      <c r="A65" s="99"/>
      <c r="B65" s="99"/>
      <c r="C65" s="99"/>
      <c r="D65" s="99"/>
      <c r="E65" s="99"/>
      <c r="F65" s="99"/>
      <c r="J65" s="99"/>
      <c r="K65" s="99"/>
      <c r="L65" s="99"/>
      <c r="M65" s="22"/>
      <c r="N65" s="22"/>
      <c r="O65" s="22"/>
      <c r="P65" s="22"/>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row>
    <row r="66" spans="1:41" ht="14.1" customHeight="1">
      <c r="A66" s="99"/>
      <c r="B66" s="99"/>
      <c r="C66" s="99"/>
      <c r="D66" s="99"/>
      <c r="E66" s="99"/>
      <c r="F66" s="99"/>
      <c r="J66" s="99"/>
      <c r="K66" s="99"/>
      <c r="L66" s="99"/>
      <c r="M66" s="22"/>
      <c r="N66" s="22"/>
      <c r="O66" s="22"/>
      <c r="P66" s="22"/>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row>
    <row r="67" spans="1:41" ht="14.1" customHeight="1">
      <c r="A67" s="99"/>
      <c r="B67" s="99"/>
      <c r="C67" s="99"/>
      <c r="D67" s="99"/>
      <c r="E67" s="99"/>
      <c r="F67" s="99"/>
      <c r="J67" s="99"/>
      <c r="K67" s="99"/>
      <c r="L67" s="99"/>
      <c r="M67" s="22"/>
      <c r="N67" s="22"/>
      <c r="O67" s="22"/>
      <c r="P67" s="22"/>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row>
    <row r="68" spans="1:41" ht="14.1" customHeight="1">
      <c r="A68" s="99"/>
      <c r="B68" s="99"/>
      <c r="C68" s="99"/>
      <c r="D68" s="99"/>
      <c r="E68" s="99"/>
      <c r="F68" s="99"/>
      <c r="J68" s="99"/>
      <c r="K68" s="99"/>
      <c r="L68" s="99"/>
      <c r="M68" s="22"/>
      <c r="N68" s="22"/>
      <c r="O68" s="22"/>
      <c r="P68" s="22"/>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row>
    <row r="69" spans="1:41" ht="14.1" customHeight="1">
      <c r="A69" s="99"/>
      <c r="B69" s="99"/>
      <c r="C69" s="99"/>
      <c r="D69" s="99"/>
      <c r="E69" s="99"/>
      <c r="F69" s="99"/>
      <c r="J69" s="99"/>
      <c r="K69" s="99"/>
      <c r="L69" s="99"/>
      <c r="M69" s="22"/>
      <c r="N69" s="22"/>
      <c r="O69" s="22"/>
      <c r="P69" s="22"/>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row>
    <row r="70" spans="1:41" ht="14.1" customHeight="1">
      <c r="A70" s="99"/>
      <c r="B70" s="99"/>
      <c r="C70" s="99"/>
      <c r="D70" s="99"/>
      <c r="E70" s="99"/>
      <c r="F70" s="99"/>
      <c r="J70" s="99"/>
      <c r="K70" s="99"/>
      <c r="L70" s="99"/>
      <c r="M70" s="22"/>
      <c r="N70" s="22"/>
      <c r="O70" s="22"/>
      <c r="P70" s="22"/>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row>
    <row r="71" spans="1:41" ht="14.1" customHeight="1">
      <c r="A71" s="99"/>
      <c r="B71" s="99"/>
      <c r="C71" s="99"/>
      <c r="D71" s="99"/>
      <c r="E71" s="99"/>
      <c r="F71" s="99"/>
      <c r="J71" s="99"/>
      <c r="K71" s="99"/>
      <c r="L71" s="99"/>
      <c r="M71" s="22"/>
      <c r="N71" s="22"/>
      <c r="O71" s="22"/>
      <c r="P71" s="22"/>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row>
    <row r="72" spans="1:41" ht="14.1" customHeight="1">
      <c r="A72" s="99"/>
      <c r="B72" s="99"/>
      <c r="C72" s="99"/>
      <c r="D72" s="99"/>
      <c r="E72" s="99"/>
      <c r="F72" s="99"/>
      <c r="J72" s="99"/>
      <c r="K72" s="99"/>
      <c r="L72" s="99"/>
      <c r="M72" s="22"/>
      <c r="N72" s="22"/>
      <c r="O72" s="22"/>
      <c r="P72" s="22"/>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row>
    <row r="73" spans="1:41" ht="14.1" customHeight="1">
      <c r="A73" s="99"/>
      <c r="B73" s="99"/>
      <c r="C73" s="99"/>
      <c r="D73" s="99"/>
      <c r="E73" s="99"/>
      <c r="F73" s="99"/>
      <c r="J73" s="99"/>
      <c r="K73" s="99"/>
      <c r="L73" s="99"/>
      <c r="M73" s="22"/>
      <c r="N73" s="22"/>
      <c r="O73" s="22"/>
      <c r="P73" s="22"/>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row>
    <row r="74" spans="1:41" ht="14.1" customHeight="1">
      <c r="A74" s="99"/>
      <c r="B74" s="99"/>
      <c r="C74" s="99"/>
      <c r="D74" s="99"/>
      <c r="E74" s="99"/>
      <c r="F74" s="99"/>
      <c r="J74" s="99"/>
      <c r="K74" s="99"/>
      <c r="L74" s="99"/>
      <c r="M74" s="22"/>
      <c r="N74" s="22"/>
      <c r="O74" s="22"/>
      <c r="P74" s="22"/>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row>
    <row r="75" spans="1:41" ht="14.1" customHeight="1">
      <c r="A75" s="99"/>
      <c r="B75" s="99"/>
      <c r="C75" s="99"/>
      <c r="D75" s="99"/>
      <c r="E75" s="99"/>
      <c r="F75" s="99"/>
      <c r="J75" s="99"/>
      <c r="K75" s="99"/>
      <c r="L75" s="99"/>
      <c r="M75" s="22"/>
      <c r="N75" s="22"/>
      <c r="O75" s="22"/>
      <c r="P75" s="22"/>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row>
    <row r="76" spans="1:41" ht="14.1" customHeight="1">
      <c r="A76" s="99"/>
      <c r="B76" s="99"/>
      <c r="C76" s="99"/>
      <c r="D76" s="99"/>
      <c r="E76" s="99"/>
      <c r="F76" s="99"/>
      <c r="J76" s="99"/>
      <c r="K76" s="99"/>
      <c r="L76" s="99"/>
      <c r="M76" s="22"/>
      <c r="N76" s="22"/>
      <c r="O76" s="22"/>
      <c r="P76" s="22"/>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row>
    <row r="77" spans="1:41" ht="14.1" customHeight="1">
      <c r="A77" s="99"/>
      <c r="B77" s="99"/>
      <c r="C77" s="99"/>
      <c r="D77" s="99"/>
      <c r="E77" s="99"/>
      <c r="F77" s="99"/>
      <c r="J77" s="99"/>
      <c r="K77" s="99"/>
      <c r="L77" s="99"/>
      <c r="M77" s="22"/>
      <c r="N77" s="22"/>
      <c r="O77" s="22"/>
      <c r="P77" s="22"/>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row>
    <row r="78" spans="1:41" ht="14.1" customHeight="1">
      <c r="A78" s="99"/>
      <c r="B78" s="99"/>
      <c r="C78" s="99"/>
      <c r="D78" s="99"/>
      <c r="E78" s="99"/>
      <c r="F78" s="99"/>
      <c r="J78" s="99"/>
      <c r="K78" s="99"/>
      <c r="L78" s="99"/>
      <c r="M78" s="22"/>
      <c r="N78" s="22"/>
      <c r="O78" s="22"/>
      <c r="P78" s="22"/>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row>
    <row r="79" spans="1:41" ht="14.1" customHeight="1">
      <c r="P79" s="97"/>
    </row>
    <row r="80" spans="1:41" ht="14.1" customHeight="1">
      <c r="P80" s="97"/>
    </row>
    <row r="81" ht="14.1" customHeight="1"/>
    <row r="82" ht="14.1" customHeight="1"/>
    <row r="83" ht="14.1" customHeight="1"/>
    <row r="84" ht="12.75" hidden="1" customHeight="1"/>
    <row r="85" ht="12.75" hidden="1" customHeight="1"/>
    <row r="86" ht="12.75" hidden="1" customHeight="1"/>
    <row r="87" ht="12.75" hidden="1" customHeight="1"/>
    <row r="88" ht="12.75" hidden="1" customHeight="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row r="118"/>
    <row r="119"/>
    <row r="120"/>
    <row r="121"/>
    <row r="122"/>
    <row r="123"/>
    <row r="124"/>
    <row r="125"/>
    <row r="126"/>
    <row r="127"/>
    <row r="128"/>
    <row r="129"/>
  </sheetData>
  <sheetProtection sheet="1" objects="1" scenarios="1" selectLockedCells="1"/>
  <mergeCells count="46">
    <mergeCell ref="J43:K43"/>
    <mergeCell ref="B26:C26"/>
    <mergeCell ref="B25:C25"/>
    <mergeCell ref="B24:C24"/>
    <mergeCell ref="B23:C23"/>
    <mergeCell ref="B27:C27"/>
    <mergeCell ref="B22:C22"/>
    <mergeCell ref="B37:C37"/>
    <mergeCell ref="B34:C34"/>
    <mergeCell ref="B19:C19"/>
    <mergeCell ref="B8:C8"/>
    <mergeCell ref="B29:C29"/>
    <mergeCell ref="B30:C30"/>
    <mergeCell ref="B31:C31"/>
    <mergeCell ref="B32:C32"/>
    <mergeCell ref="B33:C33"/>
    <mergeCell ref="B16:C16"/>
    <mergeCell ref="B17:C17"/>
    <mergeCell ref="B18:C18"/>
    <mergeCell ref="B20:C20"/>
    <mergeCell ref="B21:C21"/>
    <mergeCell ref="B28:C28"/>
    <mergeCell ref="A20:A34"/>
    <mergeCell ref="A35:A37"/>
    <mergeCell ref="B35:C35"/>
    <mergeCell ref="B36:C36"/>
    <mergeCell ref="H2:H4"/>
    <mergeCell ref="A2:C2"/>
    <mergeCell ref="B5:C5"/>
    <mergeCell ref="B6:C6"/>
    <mergeCell ref="B7:C7"/>
    <mergeCell ref="B9:C9"/>
    <mergeCell ref="B10:C10"/>
    <mergeCell ref="B11:C11"/>
    <mergeCell ref="B12:C12"/>
    <mergeCell ref="B13:C13"/>
    <mergeCell ref="B14:C14"/>
    <mergeCell ref="B15:C15"/>
    <mergeCell ref="I2:I4"/>
    <mergeCell ref="M2:S2"/>
    <mergeCell ref="M3:M4"/>
    <mergeCell ref="M41:N41"/>
    <mergeCell ref="E1:F1"/>
    <mergeCell ref="E2:E4"/>
    <mergeCell ref="F2:F4"/>
    <mergeCell ref="G2:G4"/>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&amp;L小麦「せときらら」11月下旬播種（平坦地）</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353"/>
  <sheetViews>
    <sheetView showGridLines="0" workbookViewId="0">
      <pane ySplit="4" topLeftCell="A5" activePane="bottomLeft" state="frozen"/>
      <selection activeCell="I22" sqref="I22"/>
      <selection pane="bottomLeft" activeCell="A5" sqref="A5"/>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328"/>
    <col min="11" max="11" width="18.375" style="10" customWidth="1"/>
    <col min="12" max="12" width="9.125" style="10" customWidth="1"/>
    <col min="13" max="13" width="9.125" style="329" customWidth="1"/>
    <col min="14" max="14" width="9.125" style="328" customWidth="1"/>
    <col min="15" max="15" width="18.625" style="330" customWidth="1"/>
    <col min="16" max="16" width="9" style="10"/>
    <col min="17" max="18" width="9" style="600"/>
    <col min="19" max="16384" width="9" style="10"/>
  </cols>
  <sheetData>
    <row r="1" spans="1:18" ht="14.25" thickBot="1">
      <c r="A1" s="24" t="str">
        <f>IF(①技術体系!A2=0,"",①技術体系!A2)</f>
        <v>小麦</v>
      </c>
      <c r="D1" s="24" t="str">
        <f>IF(①技術体系!C2=0,"",①技術体系!C2)</f>
        <v>せときらら</v>
      </c>
    </row>
    <row r="2" spans="1:18" s="441" customFormat="1" ht="24" customHeight="1" thickBot="1">
      <c r="A2" s="788" t="s">
        <v>4</v>
      </c>
      <c r="B2" s="789" t="s">
        <v>59</v>
      </c>
      <c r="C2" s="790" t="s">
        <v>60</v>
      </c>
      <c r="D2" s="790" t="s">
        <v>61</v>
      </c>
      <c r="E2" s="791" t="s">
        <v>399</v>
      </c>
      <c r="F2" s="785" t="s">
        <v>297</v>
      </c>
      <c r="G2" s="786"/>
      <c r="H2" s="786"/>
      <c r="I2" s="786"/>
      <c r="J2" s="786"/>
      <c r="K2" s="787" t="s">
        <v>62</v>
      </c>
      <c r="L2" s="787"/>
      <c r="M2" s="787"/>
      <c r="N2" s="787"/>
      <c r="O2" s="772" t="s">
        <v>63</v>
      </c>
      <c r="Q2" s="601"/>
      <c r="R2" s="601"/>
    </row>
    <row r="3" spans="1:18" s="441" customFormat="1" ht="19.5" customHeight="1" thickBot="1">
      <c r="A3" s="788"/>
      <c r="B3" s="789"/>
      <c r="C3" s="790"/>
      <c r="D3" s="790"/>
      <c r="E3" s="792"/>
      <c r="F3" s="773" t="s">
        <v>298</v>
      </c>
      <c r="G3" s="774"/>
      <c r="H3" s="773" t="s">
        <v>299</v>
      </c>
      <c r="I3" s="775"/>
      <c r="J3" s="776" t="s">
        <v>66</v>
      </c>
      <c r="K3" s="778" t="s">
        <v>67</v>
      </c>
      <c r="L3" s="780" t="s">
        <v>565</v>
      </c>
      <c r="M3" s="782" t="s">
        <v>400</v>
      </c>
      <c r="N3" s="783" t="s">
        <v>401</v>
      </c>
      <c r="O3" s="772"/>
      <c r="Q3" s="601"/>
      <c r="R3" s="601"/>
    </row>
    <row r="4" spans="1:18" s="441" customFormat="1" ht="27.75" thickBot="1">
      <c r="A4" s="788"/>
      <c r="B4" s="789"/>
      <c r="C4" s="790"/>
      <c r="D4" s="790"/>
      <c r="E4" s="792"/>
      <c r="F4" s="331" t="s">
        <v>64</v>
      </c>
      <c r="G4" s="332" t="s">
        <v>295</v>
      </c>
      <c r="H4" s="333" t="s">
        <v>65</v>
      </c>
      <c r="I4" s="332" t="s">
        <v>296</v>
      </c>
      <c r="J4" s="777"/>
      <c r="K4" s="779"/>
      <c r="L4" s="781"/>
      <c r="M4" s="781"/>
      <c r="N4" s="784"/>
      <c r="O4" s="772"/>
      <c r="Q4" s="601" t="s">
        <v>563</v>
      </c>
      <c r="R4" s="601" t="s">
        <v>564</v>
      </c>
    </row>
    <row r="5" spans="1:18">
      <c r="A5" s="572" t="s">
        <v>510</v>
      </c>
      <c r="B5" s="573" t="s">
        <v>246</v>
      </c>
      <c r="C5" s="574" t="s">
        <v>511</v>
      </c>
      <c r="D5" s="575" t="s">
        <v>498</v>
      </c>
      <c r="E5" s="3">
        <v>1</v>
      </c>
      <c r="F5" s="272">
        <v>0.33670033670033672</v>
      </c>
      <c r="G5" s="272">
        <v>1</v>
      </c>
      <c r="H5" s="5"/>
      <c r="I5" s="5"/>
      <c r="J5" s="410">
        <f>(+F5*G5+H5*I5)*E5</f>
        <v>0.33670033670033672</v>
      </c>
      <c r="K5" s="6" t="s">
        <v>69</v>
      </c>
      <c r="L5" s="5">
        <v>0.33670033670033672</v>
      </c>
      <c r="M5" s="4">
        <v>2</v>
      </c>
      <c r="N5" s="270">
        <f>IF(K5=0,"",L5*M5*E5)</f>
        <v>0.67340067340067344</v>
      </c>
      <c r="O5" s="20" t="s">
        <v>534</v>
      </c>
      <c r="Q5" s="600">
        <f>F5*G5*E5</f>
        <v>0.33670033670033672</v>
      </c>
      <c r="R5" s="600">
        <f>H5*E5*I5</f>
        <v>0</v>
      </c>
    </row>
    <row r="6" spans="1:18">
      <c r="A6" s="572" t="s">
        <v>447</v>
      </c>
      <c r="B6" s="573" t="s">
        <v>246</v>
      </c>
      <c r="C6" s="576" t="s">
        <v>511</v>
      </c>
      <c r="D6" s="577" t="s">
        <v>512</v>
      </c>
      <c r="E6" s="3">
        <v>1</v>
      </c>
      <c r="F6" s="273">
        <v>0.44642857142857145</v>
      </c>
      <c r="G6" s="273">
        <v>1</v>
      </c>
      <c r="H6" s="8"/>
      <c r="I6" s="5"/>
      <c r="J6" s="410">
        <f t="shared" ref="J6:J69" si="0">(+F6*G6+H6*I6)*E6</f>
        <v>0.44642857142857145</v>
      </c>
      <c r="K6" s="2" t="s">
        <v>69</v>
      </c>
      <c r="L6" s="8">
        <v>0.44642857142857145</v>
      </c>
      <c r="M6" s="7">
        <v>4</v>
      </c>
      <c r="N6" s="9">
        <f t="shared" ref="N6:N69" si="1">IF(K6=0,"",L6*M6*E6)</f>
        <v>1.7857142857142858</v>
      </c>
      <c r="O6" s="20" t="s">
        <v>534</v>
      </c>
      <c r="Q6" s="600">
        <f t="shared" ref="Q6:Q69" si="2">F6*G6*E6</f>
        <v>0.44642857142857145</v>
      </c>
      <c r="R6" s="600">
        <f t="shared" ref="R6:R69" si="3">H6*E6*I6</f>
        <v>0</v>
      </c>
    </row>
    <row r="7" spans="1:18">
      <c r="A7" s="572" t="s">
        <v>513</v>
      </c>
      <c r="B7" s="573" t="s">
        <v>248</v>
      </c>
      <c r="C7" s="577" t="s">
        <v>511</v>
      </c>
      <c r="D7" s="577" t="s">
        <v>514</v>
      </c>
      <c r="E7" s="3">
        <v>1</v>
      </c>
      <c r="F7" s="273">
        <v>0.49603174603174605</v>
      </c>
      <c r="G7" s="273">
        <v>1</v>
      </c>
      <c r="H7" s="8">
        <v>0.49603174603174605</v>
      </c>
      <c r="I7" s="5">
        <v>1</v>
      </c>
      <c r="J7" s="410">
        <f t="shared" si="0"/>
        <v>0.99206349206349209</v>
      </c>
      <c r="K7" s="2" t="s">
        <v>69</v>
      </c>
      <c r="L7" s="8">
        <v>0.49603174603174605</v>
      </c>
      <c r="M7" s="7">
        <v>4</v>
      </c>
      <c r="N7" s="9">
        <f t="shared" si="1"/>
        <v>1.9841269841269842</v>
      </c>
      <c r="O7" s="20" t="s">
        <v>534</v>
      </c>
      <c r="Q7" s="600">
        <f t="shared" si="2"/>
        <v>0.49603174603174605</v>
      </c>
      <c r="R7" s="600">
        <f t="shared" si="3"/>
        <v>0.49603174603174605</v>
      </c>
    </row>
    <row r="8" spans="1:18">
      <c r="A8" s="572" t="s">
        <v>515</v>
      </c>
      <c r="B8" s="573" t="s">
        <v>248</v>
      </c>
      <c r="C8" s="577" t="s">
        <v>516</v>
      </c>
      <c r="D8" s="577" t="s">
        <v>517</v>
      </c>
      <c r="E8" s="3">
        <v>1</v>
      </c>
      <c r="F8" s="273">
        <v>0.10262725779967161</v>
      </c>
      <c r="G8" s="273">
        <v>1</v>
      </c>
      <c r="H8" s="8">
        <v>0.10262725779967161</v>
      </c>
      <c r="I8" s="5">
        <v>1</v>
      </c>
      <c r="J8" s="410">
        <f t="shared" si="0"/>
        <v>0.20525451559934321</v>
      </c>
      <c r="K8" s="2" t="s">
        <v>69</v>
      </c>
      <c r="L8" s="8">
        <v>0.10262725779967161</v>
      </c>
      <c r="M8" s="7">
        <v>3</v>
      </c>
      <c r="N8" s="9">
        <f t="shared" si="1"/>
        <v>0.30788177339901479</v>
      </c>
      <c r="O8" s="20" t="s">
        <v>534</v>
      </c>
      <c r="Q8" s="600">
        <f t="shared" si="2"/>
        <v>0.10262725779967161</v>
      </c>
      <c r="R8" s="600">
        <f t="shared" si="3"/>
        <v>0.10262725779967161</v>
      </c>
    </row>
    <row r="9" spans="1:18">
      <c r="A9" s="572" t="s">
        <v>457</v>
      </c>
      <c r="B9" s="573" t="s">
        <v>518</v>
      </c>
      <c r="C9" s="577" t="s">
        <v>516</v>
      </c>
      <c r="D9" s="577" t="s">
        <v>517</v>
      </c>
      <c r="E9" s="3">
        <v>1</v>
      </c>
      <c r="F9" s="273">
        <v>0.10262725779967161</v>
      </c>
      <c r="G9" s="273">
        <v>1</v>
      </c>
      <c r="H9" s="8">
        <v>0.10262725779967161</v>
      </c>
      <c r="I9" s="5">
        <v>1</v>
      </c>
      <c r="J9" s="410">
        <f t="shared" si="0"/>
        <v>0.20525451559934321</v>
      </c>
      <c r="K9" s="2" t="s">
        <v>69</v>
      </c>
      <c r="L9" s="8">
        <v>0.10262725779967161</v>
      </c>
      <c r="M9" s="7">
        <v>3</v>
      </c>
      <c r="N9" s="9">
        <f t="shared" si="1"/>
        <v>0.30788177339901479</v>
      </c>
      <c r="O9" s="20" t="s">
        <v>535</v>
      </c>
      <c r="Q9" s="600">
        <f t="shared" si="2"/>
        <v>0.10262725779967161</v>
      </c>
      <c r="R9" s="600">
        <f t="shared" si="3"/>
        <v>0.10262725779967161</v>
      </c>
    </row>
    <row r="10" spans="1:18">
      <c r="A10" s="572" t="s">
        <v>519</v>
      </c>
      <c r="B10" s="573" t="s">
        <v>520</v>
      </c>
      <c r="C10" s="577" t="s">
        <v>516</v>
      </c>
      <c r="D10" s="577" t="s">
        <v>521</v>
      </c>
      <c r="E10" s="3">
        <v>1</v>
      </c>
      <c r="F10" s="273">
        <v>0.20833333333333331</v>
      </c>
      <c r="G10" s="273">
        <v>1</v>
      </c>
      <c r="H10" s="8"/>
      <c r="I10" s="5"/>
      <c r="J10" s="410">
        <f t="shared" si="0"/>
        <v>0.20833333333333331</v>
      </c>
      <c r="K10" s="2" t="s">
        <v>69</v>
      </c>
      <c r="L10" s="8">
        <v>0.20833333333333331</v>
      </c>
      <c r="M10" s="7">
        <v>1.5</v>
      </c>
      <c r="N10" s="9">
        <f t="shared" si="1"/>
        <v>0.3125</v>
      </c>
      <c r="O10" s="20" t="s">
        <v>534</v>
      </c>
      <c r="Q10" s="600">
        <f t="shared" si="2"/>
        <v>0.20833333333333331</v>
      </c>
      <c r="R10" s="600">
        <f t="shared" si="3"/>
        <v>0</v>
      </c>
    </row>
    <row r="11" spans="1:18">
      <c r="A11" s="572" t="s">
        <v>522</v>
      </c>
      <c r="B11" s="573" t="s">
        <v>204</v>
      </c>
      <c r="C11" s="576" t="s">
        <v>516</v>
      </c>
      <c r="D11" s="577" t="s">
        <v>523</v>
      </c>
      <c r="E11" s="3">
        <v>1</v>
      </c>
      <c r="F11" s="273">
        <v>0.57870370370370372</v>
      </c>
      <c r="G11" s="273">
        <v>1</v>
      </c>
      <c r="H11" s="8"/>
      <c r="I11" s="5"/>
      <c r="J11" s="410">
        <f t="shared" si="0"/>
        <v>0.57870370370370372</v>
      </c>
      <c r="K11" s="2" t="s">
        <v>69</v>
      </c>
      <c r="L11" s="8">
        <v>0.57870370370370372</v>
      </c>
      <c r="M11" s="7">
        <v>3</v>
      </c>
      <c r="N11" s="9">
        <f t="shared" si="1"/>
        <v>1.7361111111111112</v>
      </c>
      <c r="O11" s="20" t="s">
        <v>534</v>
      </c>
      <c r="Q11" s="600">
        <f t="shared" si="2"/>
        <v>0.57870370370370372</v>
      </c>
      <c r="R11" s="600">
        <f t="shared" si="3"/>
        <v>0</v>
      </c>
    </row>
    <row r="12" spans="1:18">
      <c r="A12" s="572" t="s">
        <v>524</v>
      </c>
      <c r="B12" s="573" t="s">
        <v>209</v>
      </c>
      <c r="C12" s="576" t="s">
        <v>516</v>
      </c>
      <c r="D12" s="577" t="s">
        <v>525</v>
      </c>
      <c r="E12" s="3">
        <v>1</v>
      </c>
      <c r="F12" s="273">
        <v>0.43787629994526556</v>
      </c>
      <c r="G12" s="273">
        <v>1</v>
      </c>
      <c r="H12" s="8"/>
      <c r="I12" s="5"/>
      <c r="J12" s="410">
        <f t="shared" si="0"/>
        <v>0.43787629994526556</v>
      </c>
      <c r="K12" s="2" t="s">
        <v>69</v>
      </c>
      <c r="L12" s="8">
        <v>0.43787629994526556</v>
      </c>
      <c r="M12" s="7">
        <v>3</v>
      </c>
      <c r="N12" s="9">
        <f t="shared" si="1"/>
        <v>1.3136288998357966</v>
      </c>
      <c r="O12" s="20" t="s">
        <v>534</v>
      </c>
      <c r="Q12" s="600">
        <f t="shared" si="2"/>
        <v>0.43787629994526556</v>
      </c>
      <c r="R12" s="600">
        <f t="shared" si="3"/>
        <v>0</v>
      </c>
    </row>
    <row r="13" spans="1:18">
      <c r="A13" s="572" t="s">
        <v>526</v>
      </c>
      <c r="B13" s="573" t="s">
        <v>201</v>
      </c>
      <c r="C13" s="577" t="s">
        <v>516</v>
      </c>
      <c r="D13" s="577" t="s">
        <v>527</v>
      </c>
      <c r="E13" s="3">
        <v>1</v>
      </c>
      <c r="F13" s="273">
        <v>0.43787629994526556</v>
      </c>
      <c r="G13" s="273">
        <v>1</v>
      </c>
      <c r="H13" s="8"/>
      <c r="I13" s="5"/>
      <c r="J13" s="410">
        <f t="shared" si="0"/>
        <v>0.43787629994526556</v>
      </c>
      <c r="K13" s="2" t="s">
        <v>69</v>
      </c>
      <c r="L13" s="8">
        <v>0.43787629994526556</v>
      </c>
      <c r="M13" s="7">
        <v>3</v>
      </c>
      <c r="N13" s="9">
        <f t="shared" si="1"/>
        <v>1.3136288998357966</v>
      </c>
      <c r="O13" s="20" t="s">
        <v>534</v>
      </c>
      <c r="Q13" s="600">
        <f t="shared" si="2"/>
        <v>0.43787629994526556</v>
      </c>
      <c r="R13" s="600">
        <f t="shared" si="3"/>
        <v>0</v>
      </c>
    </row>
    <row r="14" spans="1:18">
      <c r="A14" s="572" t="s">
        <v>528</v>
      </c>
      <c r="B14" s="573" t="s">
        <v>228</v>
      </c>
      <c r="C14" s="577" t="s">
        <v>479</v>
      </c>
      <c r="D14" s="577"/>
      <c r="E14" s="3">
        <v>1</v>
      </c>
      <c r="F14" s="273">
        <v>0.90187590187590194</v>
      </c>
      <c r="G14" s="273">
        <v>1</v>
      </c>
      <c r="H14" s="8">
        <v>0.90187590187590194</v>
      </c>
      <c r="I14" s="5">
        <v>1</v>
      </c>
      <c r="J14" s="410">
        <f t="shared" si="0"/>
        <v>1.8037518037518039</v>
      </c>
      <c r="K14" s="2" t="s">
        <v>69</v>
      </c>
      <c r="L14" s="8">
        <v>0.90187590187590194</v>
      </c>
      <c r="M14" s="7">
        <v>4.5</v>
      </c>
      <c r="N14" s="9">
        <f t="shared" si="1"/>
        <v>4.058441558441559</v>
      </c>
      <c r="O14" s="20" t="s">
        <v>534</v>
      </c>
      <c r="Q14" s="600">
        <f t="shared" si="2"/>
        <v>0.90187590187590194</v>
      </c>
      <c r="R14" s="600">
        <f t="shared" si="3"/>
        <v>0.90187590187590194</v>
      </c>
    </row>
    <row r="15" spans="1:18">
      <c r="A15" s="572" t="s">
        <v>529</v>
      </c>
      <c r="B15" s="573" t="s">
        <v>228</v>
      </c>
      <c r="C15" s="577" t="s">
        <v>530</v>
      </c>
      <c r="D15" s="577"/>
      <c r="E15" s="3">
        <v>1</v>
      </c>
      <c r="F15" s="273">
        <v>0.4</v>
      </c>
      <c r="G15" s="273">
        <v>1</v>
      </c>
      <c r="H15" s="8"/>
      <c r="I15" s="5"/>
      <c r="J15" s="410">
        <f t="shared" si="0"/>
        <v>0.4</v>
      </c>
      <c r="K15" s="2" t="s">
        <v>71</v>
      </c>
      <c r="L15" s="8">
        <v>0.4</v>
      </c>
      <c r="M15" s="7">
        <v>3</v>
      </c>
      <c r="N15" s="9">
        <f t="shared" si="1"/>
        <v>1.2000000000000002</v>
      </c>
      <c r="O15" s="20" t="s">
        <v>536</v>
      </c>
      <c r="Q15" s="600">
        <f t="shared" si="2"/>
        <v>0.4</v>
      </c>
      <c r="R15" s="600">
        <f t="shared" si="3"/>
        <v>0</v>
      </c>
    </row>
    <row r="16" spans="1:18">
      <c r="A16" s="572" t="s">
        <v>519</v>
      </c>
      <c r="B16" s="573" t="s">
        <v>203</v>
      </c>
      <c r="C16" s="577" t="s">
        <v>516</v>
      </c>
      <c r="D16" s="577" t="s">
        <v>521</v>
      </c>
      <c r="E16" s="3">
        <v>1</v>
      </c>
      <c r="F16" s="273">
        <v>0.20833333333333331</v>
      </c>
      <c r="G16" s="273">
        <v>1</v>
      </c>
      <c r="H16" s="8"/>
      <c r="I16" s="5"/>
      <c r="J16" s="410">
        <f t="shared" si="0"/>
        <v>0.20833333333333331</v>
      </c>
      <c r="K16" s="2" t="s">
        <v>69</v>
      </c>
      <c r="L16" s="8">
        <v>0.20833333333333331</v>
      </c>
      <c r="M16" s="7">
        <v>1.5</v>
      </c>
      <c r="N16" s="9">
        <f t="shared" si="1"/>
        <v>0.3125</v>
      </c>
      <c r="O16" s="20" t="s">
        <v>534</v>
      </c>
      <c r="Q16" s="600">
        <f t="shared" si="2"/>
        <v>0.20833333333333331</v>
      </c>
      <c r="R16" s="600">
        <f t="shared" si="3"/>
        <v>0</v>
      </c>
    </row>
    <row r="17" spans="1:18">
      <c r="A17" s="572" t="s">
        <v>526</v>
      </c>
      <c r="B17" s="573" t="s">
        <v>209</v>
      </c>
      <c r="C17" s="577" t="s">
        <v>516</v>
      </c>
      <c r="D17" s="577" t="s">
        <v>527</v>
      </c>
      <c r="E17" s="3">
        <v>1</v>
      </c>
      <c r="F17" s="273">
        <v>0.43787629994526556</v>
      </c>
      <c r="G17" s="273">
        <v>1</v>
      </c>
      <c r="H17" s="8"/>
      <c r="I17" s="5"/>
      <c r="J17" s="410">
        <f t="shared" si="0"/>
        <v>0.43787629994526556</v>
      </c>
      <c r="K17" s="2" t="s">
        <v>69</v>
      </c>
      <c r="L17" s="8">
        <v>0.43787629994526556</v>
      </c>
      <c r="M17" s="7">
        <v>3</v>
      </c>
      <c r="N17" s="9">
        <f t="shared" si="1"/>
        <v>1.3136288998357966</v>
      </c>
      <c r="O17" s="20" t="s">
        <v>534</v>
      </c>
      <c r="Q17" s="600">
        <f t="shared" si="2"/>
        <v>0.43787629994526556</v>
      </c>
      <c r="R17" s="600">
        <f t="shared" si="3"/>
        <v>0</v>
      </c>
    </row>
    <row r="18" spans="1:18">
      <c r="A18" s="572" t="s">
        <v>524</v>
      </c>
      <c r="B18" s="573" t="s">
        <v>211</v>
      </c>
      <c r="C18" s="577" t="s">
        <v>516</v>
      </c>
      <c r="D18" s="577" t="s">
        <v>525</v>
      </c>
      <c r="E18" s="3">
        <v>1</v>
      </c>
      <c r="F18" s="273">
        <v>0.43787629994526556</v>
      </c>
      <c r="G18" s="273">
        <v>1</v>
      </c>
      <c r="H18" s="8"/>
      <c r="I18" s="5"/>
      <c r="J18" s="410">
        <f t="shared" si="0"/>
        <v>0.43787629994526556</v>
      </c>
      <c r="K18" s="2" t="s">
        <v>69</v>
      </c>
      <c r="L18" s="8">
        <v>0.43787629994526556</v>
      </c>
      <c r="M18" s="7">
        <v>3</v>
      </c>
      <c r="N18" s="9">
        <f t="shared" si="1"/>
        <v>1.3136288998357966</v>
      </c>
      <c r="O18" s="20" t="s">
        <v>534</v>
      </c>
      <c r="Q18" s="600">
        <f t="shared" si="2"/>
        <v>0.43787629994526556</v>
      </c>
      <c r="R18" s="600">
        <f t="shared" si="3"/>
        <v>0</v>
      </c>
    </row>
    <row r="19" spans="1:18">
      <c r="A19" s="572" t="s">
        <v>519</v>
      </c>
      <c r="B19" s="573" t="s">
        <v>531</v>
      </c>
      <c r="C19" s="577" t="s">
        <v>516</v>
      </c>
      <c r="D19" s="577" t="s">
        <v>521</v>
      </c>
      <c r="E19" s="3">
        <v>1</v>
      </c>
      <c r="F19" s="273">
        <v>0.20833333333333331</v>
      </c>
      <c r="G19" s="273">
        <v>1</v>
      </c>
      <c r="H19" s="8"/>
      <c r="I19" s="5"/>
      <c r="J19" s="410">
        <f t="shared" si="0"/>
        <v>0.20833333333333331</v>
      </c>
      <c r="K19" s="2" t="s">
        <v>69</v>
      </c>
      <c r="L19" s="8">
        <v>0.20833333333333331</v>
      </c>
      <c r="M19" s="7">
        <v>1.5</v>
      </c>
      <c r="N19" s="9">
        <f t="shared" si="1"/>
        <v>0.3125</v>
      </c>
      <c r="O19" s="20" t="s">
        <v>534</v>
      </c>
      <c r="Q19" s="600">
        <f t="shared" si="2"/>
        <v>0.20833333333333331</v>
      </c>
      <c r="R19" s="600">
        <f t="shared" si="3"/>
        <v>0</v>
      </c>
    </row>
    <row r="20" spans="1:18">
      <c r="A20" s="572" t="s">
        <v>457</v>
      </c>
      <c r="B20" s="573" t="s">
        <v>532</v>
      </c>
      <c r="C20" s="577" t="s">
        <v>516</v>
      </c>
      <c r="D20" s="577" t="s">
        <v>517</v>
      </c>
      <c r="E20" s="3">
        <v>1</v>
      </c>
      <c r="F20" s="273">
        <v>0.10262725779967161</v>
      </c>
      <c r="G20" s="273">
        <v>1</v>
      </c>
      <c r="H20" s="8">
        <v>0.10262725779967161</v>
      </c>
      <c r="I20" s="5">
        <v>1</v>
      </c>
      <c r="J20" s="410">
        <f t="shared" si="0"/>
        <v>0.20525451559934321</v>
      </c>
      <c r="K20" s="2" t="s">
        <v>69</v>
      </c>
      <c r="L20" s="8">
        <v>0.10262725779967161</v>
      </c>
      <c r="M20" s="7">
        <v>3</v>
      </c>
      <c r="N20" s="9">
        <f t="shared" si="1"/>
        <v>0.30788177339901479</v>
      </c>
      <c r="O20" s="20" t="s">
        <v>535</v>
      </c>
      <c r="Q20" s="600">
        <f t="shared" si="2"/>
        <v>0.10262725779967161</v>
      </c>
      <c r="R20" s="600">
        <f t="shared" si="3"/>
        <v>0.10262725779967161</v>
      </c>
    </row>
    <row r="21" spans="1:18">
      <c r="A21" s="572" t="s">
        <v>482</v>
      </c>
      <c r="B21" s="573" t="s">
        <v>246</v>
      </c>
      <c r="C21" s="577" t="s">
        <v>511</v>
      </c>
      <c r="D21" s="577" t="s">
        <v>507</v>
      </c>
      <c r="E21" s="3">
        <v>1</v>
      </c>
      <c r="F21" s="273">
        <v>0.49603174603174616</v>
      </c>
      <c r="G21" s="273">
        <v>1</v>
      </c>
      <c r="H21" s="8"/>
      <c r="I21" s="5"/>
      <c r="J21" s="410">
        <f t="shared" si="0"/>
        <v>0.49603174603174616</v>
      </c>
      <c r="K21" s="2" t="s">
        <v>69</v>
      </c>
      <c r="L21" s="8">
        <v>0.49603174603174616</v>
      </c>
      <c r="M21" s="7">
        <v>4</v>
      </c>
      <c r="N21" s="9">
        <f t="shared" si="1"/>
        <v>1.9841269841269846</v>
      </c>
      <c r="O21" s="20" t="s">
        <v>534</v>
      </c>
      <c r="Q21" s="600">
        <f t="shared" si="2"/>
        <v>0.49603174603174616</v>
      </c>
      <c r="R21" s="600">
        <f t="shared" si="3"/>
        <v>0</v>
      </c>
    </row>
    <row r="22" spans="1:18">
      <c r="A22" s="572" t="s">
        <v>482</v>
      </c>
      <c r="B22" s="573" t="s">
        <v>246</v>
      </c>
      <c r="C22" s="577" t="s">
        <v>511</v>
      </c>
      <c r="D22" s="577" t="s">
        <v>533</v>
      </c>
      <c r="E22" s="3">
        <v>1</v>
      </c>
      <c r="F22" s="273">
        <v>0.32776138970829233</v>
      </c>
      <c r="G22" s="273">
        <v>1</v>
      </c>
      <c r="H22" s="8"/>
      <c r="I22" s="5"/>
      <c r="J22" s="410">
        <f t="shared" si="0"/>
        <v>0.32776138970829233</v>
      </c>
      <c r="K22" s="2" t="s">
        <v>69</v>
      </c>
      <c r="L22" s="8">
        <v>0.32776138970829233</v>
      </c>
      <c r="M22" s="7">
        <v>4</v>
      </c>
      <c r="N22" s="9">
        <f t="shared" si="1"/>
        <v>1.3110455588331693</v>
      </c>
      <c r="O22" s="20" t="s">
        <v>537</v>
      </c>
      <c r="Q22" s="600">
        <f t="shared" si="2"/>
        <v>0.32776138970829233</v>
      </c>
      <c r="R22" s="600">
        <f t="shared" si="3"/>
        <v>0</v>
      </c>
    </row>
    <row r="23" spans="1:18">
      <c r="A23" s="572"/>
      <c r="B23" s="573"/>
      <c r="C23" s="577"/>
      <c r="D23" s="577"/>
      <c r="E23" s="3"/>
      <c r="F23" s="273"/>
      <c r="G23" s="273"/>
      <c r="H23" s="8"/>
      <c r="I23" s="5"/>
      <c r="J23" s="410">
        <f t="shared" si="0"/>
        <v>0</v>
      </c>
      <c r="K23" s="2"/>
      <c r="L23" s="8"/>
      <c r="M23" s="7"/>
      <c r="N23" s="9" t="str">
        <f t="shared" si="1"/>
        <v/>
      </c>
      <c r="O23" s="20"/>
      <c r="Q23" s="600">
        <f t="shared" si="2"/>
        <v>0</v>
      </c>
      <c r="R23" s="600">
        <f t="shared" si="3"/>
        <v>0</v>
      </c>
    </row>
    <row r="24" spans="1:18">
      <c r="A24" s="572"/>
      <c r="B24" s="573"/>
      <c r="C24" s="577"/>
      <c r="D24" s="577"/>
      <c r="E24" s="3"/>
      <c r="F24" s="273"/>
      <c r="G24" s="273"/>
      <c r="H24" s="8"/>
      <c r="I24" s="5"/>
      <c r="J24" s="410">
        <f t="shared" si="0"/>
        <v>0</v>
      </c>
      <c r="K24" s="2"/>
      <c r="L24" s="8"/>
      <c r="M24" s="7"/>
      <c r="N24" s="9" t="str">
        <f t="shared" si="1"/>
        <v/>
      </c>
      <c r="O24" s="20"/>
      <c r="Q24" s="600">
        <f t="shared" si="2"/>
        <v>0</v>
      </c>
      <c r="R24" s="600">
        <f t="shared" si="3"/>
        <v>0</v>
      </c>
    </row>
    <row r="25" spans="1:18">
      <c r="A25" s="572"/>
      <c r="B25" s="573"/>
      <c r="C25" s="577"/>
      <c r="D25" s="577"/>
      <c r="E25" s="3"/>
      <c r="F25" s="273"/>
      <c r="G25" s="273"/>
      <c r="H25" s="8"/>
      <c r="I25" s="5"/>
      <c r="J25" s="410">
        <f t="shared" si="0"/>
        <v>0</v>
      </c>
      <c r="K25" s="2"/>
      <c r="L25" s="8"/>
      <c r="M25" s="7"/>
      <c r="N25" s="9" t="str">
        <f t="shared" si="1"/>
        <v/>
      </c>
      <c r="O25" s="20"/>
      <c r="Q25" s="600">
        <f t="shared" si="2"/>
        <v>0</v>
      </c>
      <c r="R25" s="600">
        <f t="shared" si="3"/>
        <v>0</v>
      </c>
    </row>
    <row r="26" spans="1:18">
      <c r="A26" s="572"/>
      <c r="B26" s="573"/>
      <c r="C26" s="577"/>
      <c r="D26" s="577"/>
      <c r="E26" s="3"/>
      <c r="F26" s="273"/>
      <c r="G26" s="273"/>
      <c r="H26" s="8"/>
      <c r="I26" s="5"/>
      <c r="J26" s="410">
        <f t="shared" si="0"/>
        <v>0</v>
      </c>
      <c r="K26" s="2"/>
      <c r="L26" s="8"/>
      <c r="M26" s="7"/>
      <c r="N26" s="9" t="str">
        <f t="shared" si="1"/>
        <v/>
      </c>
      <c r="O26" s="20"/>
      <c r="Q26" s="600">
        <f t="shared" si="2"/>
        <v>0</v>
      </c>
      <c r="R26" s="600">
        <f t="shared" si="3"/>
        <v>0</v>
      </c>
    </row>
    <row r="27" spans="1:18">
      <c r="A27" s="572"/>
      <c r="B27" s="573"/>
      <c r="C27" s="577"/>
      <c r="D27" s="577"/>
      <c r="E27" s="3"/>
      <c r="F27" s="273"/>
      <c r="G27" s="273"/>
      <c r="H27" s="8"/>
      <c r="I27" s="5"/>
      <c r="J27" s="410">
        <f t="shared" si="0"/>
        <v>0</v>
      </c>
      <c r="K27" s="2"/>
      <c r="L27" s="8"/>
      <c r="M27" s="7"/>
      <c r="N27" s="9" t="str">
        <f t="shared" si="1"/>
        <v/>
      </c>
      <c r="O27" s="20"/>
      <c r="Q27" s="600">
        <f t="shared" si="2"/>
        <v>0</v>
      </c>
      <c r="R27" s="600">
        <f t="shared" si="3"/>
        <v>0</v>
      </c>
    </row>
    <row r="28" spans="1:18">
      <c r="A28" s="572"/>
      <c r="B28" s="573"/>
      <c r="C28" s="577"/>
      <c r="D28" s="577"/>
      <c r="E28" s="3"/>
      <c r="F28" s="273"/>
      <c r="G28" s="273"/>
      <c r="H28" s="8"/>
      <c r="I28" s="5"/>
      <c r="J28" s="410">
        <f t="shared" si="0"/>
        <v>0</v>
      </c>
      <c r="K28" s="2"/>
      <c r="L28" s="8"/>
      <c r="M28" s="7"/>
      <c r="N28" s="9" t="str">
        <f t="shared" si="1"/>
        <v/>
      </c>
      <c r="O28" s="20"/>
      <c r="Q28" s="600">
        <f t="shared" si="2"/>
        <v>0</v>
      </c>
      <c r="R28" s="600">
        <f t="shared" si="3"/>
        <v>0</v>
      </c>
    </row>
    <row r="29" spans="1:18">
      <c r="A29" s="572"/>
      <c r="B29" s="573"/>
      <c r="C29" s="577"/>
      <c r="D29" s="577"/>
      <c r="E29" s="3"/>
      <c r="F29" s="273"/>
      <c r="G29" s="273"/>
      <c r="H29" s="8"/>
      <c r="I29" s="5"/>
      <c r="J29" s="410">
        <f t="shared" si="0"/>
        <v>0</v>
      </c>
      <c r="K29" s="2"/>
      <c r="L29" s="8"/>
      <c r="M29" s="7"/>
      <c r="N29" s="9" t="str">
        <f t="shared" si="1"/>
        <v/>
      </c>
      <c r="O29" s="20"/>
      <c r="Q29" s="600">
        <f t="shared" si="2"/>
        <v>0</v>
      </c>
      <c r="R29" s="600">
        <f t="shared" si="3"/>
        <v>0</v>
      </c>
    </row>
    <row r="30" spans="1:18">
      <c r="A30" s="572"/>
      <c r="B30" s="573"/>
      <c r="C30" s="577"/>
      <c r="D30" s="577"/>
      <c r="E30" s="3"/>
      <c r="F30" s="273"/>
      <c r="G30" s="273"/>
      <c r="H30" s="8"/>
      <c r="I30" s="5"/>
      <c r="J30" s="410">
        <f t="shared" si="0"/>
        <v>0</v>
      </c>
      <c r="K30" s="2"/>
      <c r="L30" s="8"/>
      <c r="M30" s="7"/>
      <c r="N30" s="9" t="str">
        <f t="shared" si="1"/>
        <v/>
      </c>
      <c r="O30" s="20"/>
      <c r="Q30" s="600">
        <f t="shared" si="2"/>
        <v>0</v>
      </c>
      <c r="R30" s="600">
        <f t="shared" si="3"/>
        <v>0</v>
      </c>
    </row>
    <row r="31" spans="1:18">
      <c r="A31" s="572"/>
      <c r="B31" s="573"/>
      <c r="C31" s="577"/>
      <c r="D31" s="577"/>
      <c r="E31" s="3"/>
      <c r="F31" s="273"/>
      <c r="G31" s="273"/>
      <c r="H31" s="8"/>
      <c r="I31" s="5"/>
      <c r="J31" s="410">
        <f t="shared" si="0"/>
        <v>0</v>
      </c>
      <c r="K31" s="2"/>
      <c r="L31" s="8"/>
      <c r="M31" s="7"/>
      <c r="N31" s="9" t="str">
        <f t="shared" si="1"/>
        <v/>
      </c>
      <c r="O31" s="20"/>
      <c r="Q31" s="600">
        <f t="shared" si="2"/>
        <v>0</v>
      </c>
      <c r="R31" s="600">
        <f t="shared" si="3"/>
        <v>0</v>
      </c>
    </row>
    <row r="32" spans="1:18">
      <c r="A32" s="572"/>
      <c r="B32" s="573"/>
      <c r="C32" s="577"/>
      <c r="D32" s="577"/>
      <c r="E32" s="3"/>
      <c r="F32" s="273"/>
      <c r="G32" s="273"/>
      <c r="H32" s="8"/>
      <c r="I32" s="5"/>
      <c r="J32" s="410">
        <f t="shared" si="0"/>
        <v>0</v>
      </c>
      <c r="K32" s="2"/>
      <c r="L32" s="8"/>
      <c r="M32" s="7"/>
      <c r="N32" s="9" t="str">
        <f t="shared" si="1"/>
        <v/>
      </c>
      <c r="O32" s="20"/>
      <c r="Q32" s="600">
        <f t="shared" si="2"/>
        <v>0</v>
      </c>
      <c r="R32" s="600">
        <f t="shared" si="3"/>
        <v>0</v>
      </c>
    </row>
    <row r="33" spans="1:18">
      <c r="A33" s="572"/>
      <c r="B33" s="573"/>
      <c r="C33" s="577"/>
      <c r="D33" s="577"/>
      <c r="E33" s="3"/>
      <c r="F33" s="273"/>
      <c r="G33" s="273"/>
      <c r="H33" s="8"/>
      <c r="I33" s="5"/>
      <c r="J33" s="410">
        <f t="shared" si="0"/>
        <v>0</v>
      </c>
      <c r="K33" s="2"/>
      <c r="L33" s="8"/>
      <c r="M33" s="7"/>
      <c r="N33" s="9" t="str">
        <f t="shared" si="1"/>
        <v/>
      </c>
      <c r="O33" s="20"/>
      <c r="Q33" s="600">
        <f t="shared" si="2"/>
        <v>0</v>
      </c>
      <c r="R33" s="600">
        <f t="shared" si="3"/>
        <v>0</v>
      </c>
    </row>
    <row r="34" spans="1:18">
      <c r="A34" s="572"/>
      <c r="B34" s="573"/>
      <c r="C34" s="577"/>
      <c r="D34" s="577"/>
      <c r="E34" s="3"/>
      <c r="F34" s="273"/>
      <c r="G34" s="273"/>
      <c r="H34" s="8"/>
      <c r="I34" s="5"/>
      <c r="J34" s="410">
        <f t="shared" si="0"/>
        <v>0</v>
      </c>
      <c r="K34" s="2"/>
      <c r="L34" s="8"/>
      <c r="M34" s="7"/>
      <c r="N34" s="9" t="str">
        <f t="shared" si="1"/>
        <v/>
      </c>
      <c r="O34" s="20"/>
      <c r="Q34" s="600">
        <f t="shared" si="2"/>
        <v>0</v>
      </c>
      <c r="R34" s="600">
        <f t="shared" si="3"/>
        <v>0</v>
      </c>
    </row>
    <row r="35" spans="1:18">
      <c r="A35" s="572"/>
      <c r="B35" s="573"/>
      <c r="C35" s="577"/>
      <c r="D35" s="577"/>
      <c r="E35" s="3"/>
      <c r="F35" s="273"/>
      <c r="G35" s="273"/>
      <c r="H35" s="8"/>
      <c r="I35" s="5"/>
      <c r="J35" s="410">
        <f t="shared" si="0"/>
        <v>0</v>
      </c>
      <c r="K35" s="2"/>
      <c r="L35" s="8"/>
      <c r="M35" s="7"/>
      <c r="N35" s="9" t="str">
        <f t="shared" si="1"/>
        <v/>
      </c>
      <c r="O35" s="20"/>
      <c r="Q35" s="600">
        <f t="shared" si="2"/>
        <v>0</v>
      </c>
      <c r="R35" s="600">
        <f t="shared" si="3"/>
        <v>0</v>
      </c>
    </row>
    <row r="36" spans="1:18">
      <c r="A36" s="572"/>
      <c r="B36" s="573"/>
      <c r="C36" s="577"/>
      <c r="D36" s="577"/>
      <c r="E36" s="3"/>
      <c r="F36" s="273"/>
      <c r="G36" s="273"/>
      <c r="H36" s="8"/>
      <c r="I36" s="5"/>
      <c r="J36" s="410">
        <f t="shared" si="0"/>
        <v>0</v>
      </c>
      <c r="K36" s="2"/>
      <c r="L36" s="8"/>
      <c r="M36" s="7"/>
      <c r="N36" s="9" t="str">
        <f t="shared" si="1"/>
        <v/>
      </c>
      <c r="O36" s="20"/>
      <c r="Q36" s="600">
        <f t="shared" si="2"/>
        <v>0</v>
      </c>
      <c r="R36" s="600">
        <f t="shared" si="3"/>
        <v>0</v>
      </c>
    </row>
    <row r="37" spans="1:18">
      <c r="A37" s="572"/>
      <c r="B37" s="573"/>
      <c r="C37" s="577"/>
      <c r="D37" s="577"/>
      <c r="E37" s="3"/>
      <c r="F37" s="273"/>
      <c r="G37" s="273"/>
      <c r="H37" s="8"/>
      <c r="I37" s="5"/>
      <c r="J37" s="410">
        <f t="shared" si="0"/>
        <v>0</v>
      </c>
      <c r="K37" s="2"/>
      <c r="L37" s="8"/>
      <c r="M37" s="7"/>
      <c r="N37" s="9" t="str">
        <f t="shared" si="1"/>
        <v/>
      </c>
      <c r="O37" s="20"/>
      <c r="Q37" s="600">
        <f t="shared" si="2"/>
        <v>0</v>
      </c>
      <c r="R37" s="600">
        <f t="shared" si="3"/>
        <v>0</v>
      </c>
    </row>
    <row r="38" spans="1:18">
      <c r="A38" s="572"/>
      <c r="B38" s="573"/>
      <c r="C38" s="577"/>
      <c r="D38" s="577"/>
      <c r="E38" s="3"/>
      <c r="F38" s="273"/>
      <c r="G38" s="273"/>
      <c r="H38" s="8"/>
      <c r="I38" s="5"/>
      <c r="J38" s="410">
        <f t="shared" si="0"/>
        <v>0</v>
      </c>
      <c r="K38" s="2"/>
      <c r="L38" s="8"/>
      <c r="M38" s="7"/>
      <c r="N38" s="9" t="str">
        <f t="shared" si="1"/>
        <v/>
      </c>
      <c r="O38" s="20"/>
      <c r="Q38" s="600">
        <f t="shared" si="2"/>
        <v>0</v>
      </c>
      <c r="R38" s="600">
        <f t="shared" si="3"/>
        <v>0</v>
      </c>
    </row>
    <row r="39" spans="1:18">
      <c r="A39" s="572"/>
      <c r="B39" s="573"/>
      <c r="C39" s="577"/>
      <c r="D39" s="577"/>
      <c r="E39" s="3"/>
      <c r="F39" s="273"/>
      <c r="G39" s="273"/>
      <c r="H39" s="8"/>
      <c r="I39" s="5"/>
      <c r="J39" s="410">
        <f t="shared" si="0"/>
        <v>0</v>
      </c>
      <c r="K39" s="2"/>
      <c r="L39" s="8"/>
      <c r="M39" s="7"/>
      <c r="N39" s="9" t="str">
        <f t="shared" si="1"/>
        <v/>
      </c>
      <c r="O39" s="20"/>
      <c r="Q39" s="600">
        <f t="shared" si="2"/>
        <v>0</v>
      </c>
      <c r="R39" s="600">
        <f t="shared" si="3"/>
        <v>0</v>
      </c>
    </row>
    <row r="40" spans="1:18">
      <c r="A40" s="572"/>
      <c r="B40" s="573"/>
      <c r="C40" s="577"/>
      <c r="D40" s="577"/>
      <c r="E40" s="3"/>
      <c r="F40" s="273"/>
      <c r="G40" s="273"/>
      <c r="H40" s="8"/>
      <c r="I40" s="5"/>
      <c r="J40" s="410">
        <f t="shared" si="0"/>
        <v>0</v>
      </c>
      <c r="K40" s="2"/>
      <c r="L40" s="8"/>
      <c r="M40" s="7"/>
      <c r="N40" s="9" t="str">
        <f t="shared" si="1"/>
        <v/>
      </c>
      <c r="O40" s="20"/>
      <c r="Q40" s="600">
        <f t="shared" si="2"/>
        <v>0</v>
      </c>
      <c r="R40" s="600">
        <f t="shared" si="3"/>
        <v>0</v>
      </c>
    </row>
    <row r="41" spans="1:18">
      <c r="A41" s="572"/>
      <c r="B41" s="573"/>
      <c r="C41" s="577"/>
      <c r="D41" s="577"/>
      <c r="E41" s="3"/>
      <c r="F41" s="273"/>
      <c r="G41" s="273"/>
      <c r="H41" s="8"/>
      <c r="I41" s="5"/>
      <c r="J41" s="410">
        <f t="shared" si="0"/>
        <v>0</v>
      </c>
      <c r="K41" s="2"/>
      <c r="L41" s="8"/>
      <c r="M41" s="7"/>
      <c r="N41" s="9" t="str">
        <f t="shared" si="1"/>
        <v/>
      </c>
      <c r="O41" s="20"/>
      <c r="Q41" s="600">
        <f t="shared" si="2"/>
        <v>0</v>
      </c>
      <c r="R41" s="600">
        <f t="shared" si="3"/>
        <v>0</v>
      </c>
    </row>
    <row r="42" spans="1:18">
      <c r="A42" s="572"/>
      <c r="B42" s="573"/>
      <c r="C42" s="577"/>
      <c r="D42" s="577"/>
      <c r="E42" s="3"/>
      <c r="F42" s="273"/>
      <c r="G42" s="273"/>
      <c r="H42" s="8"/>
      <c r="I42" s="5"/>
      <c r="J42" s="410">
        <f t="shared" si="0"/>
        <v>0</v>
      </c>
      <c r="K42" s="2"/>
      <c r="L42" s="8"/>
      <c r="M42" s="7"/>
      <c r="N42" s="9" t="str">
        <f t="shared" si="1"/>
        <v/>
      </c>
      <c r="O42" s="20"/>
      <c r="Q42" s="600">
        <f t="shared" si="2"/>
        <v>0</v>
      </c>
      <c r="R42" s="600">
        <f t="shared" si="3"/>
        <v>0</v>
      </c>
    </row>
    <row r="43" spans="1:18">
      <c r="A43" s="572"/>
      <c r="B43" s="573"/>
      <c r="C43" s="577"/>
      <c r="D43" s="577"/>
      <c r="E43" s="3"/>
      <c r="F43" s="273"/>
      <c r="G43" s="273"/>
      <c r="H43" s="8"/>
      <c r="I43" s="5"/>
      <c r="J43" s="410">
        <f t="shared" si="0"/>
        <v>0</v>
      </c>
      <c r="K43" s="2"/>
      <c r="L43" s="8"/>
      <c r="M43" s="7"/>
      <c r="N43" s="9" t="str">
        <f t="shared" si="1"/>
        <v/>
      </c>
      <c r="O43" s="20"/>
      <c r="Q43" s="600">
        <f t="shared" si="2"/>
        <v>0</v>
      </c>
      <c r="R43" s="600">
        <f t="shared" si="3"/>
        <v>0</v>
      </c>
    </row>
    <row r="44" spans="1:18">
      <c r="A44" s="572"/>
      <c r="B44" s="573"/>
      <c r="C44" s="577"/>
      <c r="D44" s="577"/>
      <c r="E44" s="3"/>
      <c r="F44" s="273"/>
      <c r="G44" s="273"/>
      <c r="H44" s="8"/>
      <c r="I44" s="5"/>
      <c r="J44" s="410">
        <f t="shared" si="0"/>
        <v>0</v>
      </c>
      <c r="K44" s="2"/>
      <c r="L44" s="8"/>
      <c r="M44" s="7"/>
      <c r="N44" s="9" t="str">
        <f t="shared" si="1"/>
        <v/>
      </c>
      <c r="O44" s="20"/>
      <c r="Q44" s="600">
        <f t="shared" si="2"/>
        <v>0</v>
      </c>
      <c r="R44" s="600">
        <f t="shared" si="3"/>
        <v>0</v>
      </c>
    </row>
    <row r="45" spans="1:18">
      <c r="A45" s="572"/>
      <c r="B45" s="573"/>
      <c r="C45" s="577"/>
      <c r="D45" s="577"/>
      <c r="E45" s="3"/>
      <c r="F45" s="273"/>
      <c r="G45" s="273"/>
      <c r="H45" s="8"/>
      <c r="I45" s="5"/>
      <c r="J45" s="410">
        <f t="shared" si="0"/>
        <v>0</v>
      </c>
      <c r="K45" s="2"/>
      <c r="L45" s="8"/>
      <c r="M45" s="7"/>
      <c r="N45" s="9" t="str">
        <f t="shared" si="1"/>
        <v/>
      </c>
      <c r="O45" s="20"/>
      <c r="Q45" s="600">
        <f t="shared" si="2"/>
        <v>0</v>
      </c>
      <c r="R45" s="600">
        <f t="shared" si="3"/>
        <v>0</v>
      </c>
    </row>
    <row r="46" spans="1:18">
      <c r="A46" s="572"/>
      <c r="B46" s="573"/>
      <c r="C46" s="577"/>
      <c r="D46" s="577"/>
      <c r="E46" s="3"/>
      <c r="F46" s="273"/>
      <c r="G46" s="273"/>
      <c r="H46" s="8"/>
      <c r="I46" s="5"/>
      <c r="J46" s="410">
        <f t="shared" si="0"/>
        <v>0</v>
      </c>
      <c r="K46" s="2"/>
      <c r="L46" s="8"/>
      <c r="M46" s="7"/>
      <c r="N46" s="9" t="str">
        <f t="shared" si="1"/>
        <v/>
      </c>
      <c r="O46" s="20"/>
      <c r="Q46" s="600">
        <f t="shared" si="2"/>
        <v>0</v>
      </c>
      <c r="R46" s="600">
        <f t="shared" si="3"/>
        <v>0</v>
      </c>
    </row>
    <row r="47" spans="1:18">
      <c r="A47" s="572"/>
      <c r="B47" s="573"/>
      <c r="C47" s="577"/>
      <c r="D47" s="577"/>
      <c r="E47" s="3"/>
      <c r="F47" s="273"/>
      <c r="G47" s="273"/>
      <c r="H47" s="8"/>
      <c r="I47" s="5"/>
      <c r="J47" s="410">
        <f t="shared" si="0"/>
        <v>0</v>
      </c>
      <c r="K47" s="2"/>
      <c r="L47" s="8"/>
      <c r="M47" s="7"/>
      <c r="N47" s="9" t="str">
        <f t="shared" si="1"/>
        <v/>
      </c>
      <c r="O47" s="20"/>
      <c r="Q47" s="600">
        <f t="shared" si="2"/>
        <v>0</v>
      </c>
      <c r="R47" s="600">
        <f t="shared" si="3"/>
        <v>0</v>
      </c>
    </row>
    <row r="48" spans="1:18">
      <c r="A48" s="572"/>
      <c r="B48" s="573"/>
      <c r="C48" s="577"/>
      <c r="D48" s="577"/>
      <c r="E48" s="3"/>
      <c r="F48" s="273"/>
      <c r="G48" s="273"/>
      <c r="H48" s="8"/>
      <c r="I48" s="5"/>
      <c r="J48" s="410">
        <f t="shared" si="0"/>
        <v>0</v>
      </c>
      <c r="K48" s="2"/>
      <c r="L48" s="8"/>
      <c r="M48" s="7"/>
      <c r="N48" s="9" t="str">
        <f t="shared" si="1"/>
        <v/>
      </c>
      <c r="O48" s="20"/>
      <c r="Q48" s="600">
        <f t="shared" si="2"/>
        <v>0</v>
      </c>
      <c r="R48" s="600">
        <f t="shared" si="3"/>
        <v>0</v>
      </c>
    </row>
    <row r="49" spans="1:18">
      <c r="A49" s="572"/>
      <c r="B49" s="573"/>
      <c r="C49" s="577"/>
      <c r="D49" s="577"/>
      <c r="E49" s="3"/>
      <c r="F49" s="273"/>
      <c r="G49" s="273"/>
      <c r="H49" s="8"/>
      <c r="I49" s="5"/>
      <c r="J49" s="410">
        <f t="shared" si="0"/>
        <v>0</v>
      </c>
      <c r="K49" s="2"/>
      <c r="L49" s="8"/>
      <c r="M49" s="7"/>
      <c r="N49" s="9" t="str">
        <f t="shared" si="1"/>
        <v/>
      </c>
      <c r="O49" s="20"/>
      <c r="Q49" s="600">
        <f t="shared" si="2"/>
        <v>0</v>
      </c>
      <c r="R49" s="600">
        <f t="shared" si="3"/>
        <v>0</v>
      </c>
    </row>
    <row r="50" spans="1:18">
      <c r="A50" s="572"/>
      <c r="B50" s="573"/>
      <c r="C50" s="577"/>
      <c r="D50" s="577"/>
      <c r="E50" s="3"/>
      <c r="F50" s="273"/>
      <c r="G50" s="273"/>
      <c r="H50" s="8"/>
      <c r="I50" s="5"/>
      <c r="J50" s="410">
        <f t="shared" si="0"/>
        <v>0</v>
      </c>
      <c r="K50" s="2"/>
      <c r="L50" s="8"/>
      <c r="M50" s="7"/>
      <c r="N50" s="9" t="str">
        <f t="shared" si="1"/>
        <v/>
      </c>
      <c r="O50" s="20"/>
      <c r="Q50" s="600">
        <f t="shared" si="2"/>
        <v>0</v>
      </c>
      <c r="R50" s="600">
        <f t="shared" si="3"/>
        <v>0</v>
      </c>
    </row>
    <row r="51" spans="1:18">
      <c r="A51" s="572"/>
      <c r="B51" s="573"/>
      <c r="C51" s="577"/>
      <c r="D51" s="577"/>
      <c r="E51" s="3"/>
      <c r="F51" s="273"/>
      <c r="G51" s="273"/>
      <c r="H51" s="8"/>
      <c r="I51" s="5"/>
      <c r="J51" s="410">
        <f t="shared" si="0"/>
        <v>0</v>
      </c>
      <c r="K51" s="2"/>
      <c r="L51" s="8"/>
      <c r="M51" s="7"/>
      <c r="N51" s="9" t="str">
        <f t="shared" si="1"/>
        <v/>
      </c>
      <c r="O51" s="20"/>
      <c r="Q51" s="600">
        <f t="shared" si="2"/>
        <v>0</v>
      </c>
      <c r="R51" s="600">
        <f t="shared" si="3"/>
        <v>0</v>
      </c>
    </row>
    <row r="52" spans="1:18">
      <c r="A52" s="572"/>
      <c r="B52" s="573"/>
      <c r="C52" s="577"/>
      <c r="D52" s="577"/>
      <c r="E52" s="3"/>
      <c r="F52" s="273"/>
      <c r="G52" s="273"/>
      <c r="H52" s="8"/>
      <c r="I52" s="5"/>
      <c r="J52" s="410">
        <f t="shared" si="0"/>
        <v>0</v>
      </c>
      <c r="K52" s="2"/>
      <c r="L52" s="8"/>
      <c r="M52" s="7"/>
      <c r="N52" s="9" t="str">
        <f t="shared" si="1"/>
        <v/>
      </c>
      <c r="O52" s="20"/>
      <c r="Q52" s="600">
        <f t="shared" si="2"/>
        <v>0</v>
      </c>
      <c r="R52" s="600">
        <f t="shared" si="3"/>
        <v>0</v>
      </c>
    </row>
    <row r="53" spans="1:18">
      <c r="A53" s="572"/>
      <c r="B53" s="573"/>
      <c r="C53" s="577"/>
      <c r="D53" s="577"/>
      <c r="E53" s="3"/>
      <c r="F53" s="273"/>
      <c r="G53" s="273"/>
      <c r="H53" s="8"/>
      <c r="I53" s="5"/>
      <c r="J53" s="410">
        <f t="shared" si="0"/>
        <v>0</v>
      </c>
      <c r="K53" s="2"/>
      <c r="L53" s="8"/>
      <c r="M53" s="7"/>
      <c r="N53" s="9" t="str">
        <f t="shared" si="1"/>
        <v/>
      </c>
      <c r="O53" s="20"/>
      <c r="Q53" s="600">
        <f t="shared" si="2"/>
        <v>0</v>
      </c>
      <c r="R53" s="600">
        <f t="shared" si="3"/>
        <v>0</v>
      </c>
    </row>
    <row r="54" spans="1:18">
      <c r="A54" s="572"/>
      <c r="B54" s="573"/>
      <c r="C54" s="577"/>
      <c r="D54" s="577"/>
      <c r="E54" s="3"/>
      <c r="F54" s="273"/>
      <c r="G54" s="273"/>
      <c r="H54" s="8"/>
      <c r="I54" s="5"/>
      <c r="J54" s="410">
        <f t="shared" si="0"/>
        <v>0</v>
      </c>
      <c r="K54" s="2"/>
      <c r="L54" s="8"/>
      <c r="M54" s="7"/>
      <c r="N54" s="9" t="str">
        <f t="shared" si="1"/>
        <v/>
      </c>
      <c r="O54" s="20"/>
      <c r="Q54" s="600">
        <f t="shared" si="2"/>
        <v>0</v>
      </c>
      <c r="R54" s="600">
        <f t="shared" si="3"/>
        <v>0</v>
      </c>
    </row>
    <row r="55" spans="1:18">
      <c r="A55" s="572"/>
      <c r="B55" s="573"/>
      <c r="C55" s="577"/>
      <c r="D55" s="577"/>
      <c r="E55" s="3"/>
      <c r="F55" s="273"/>
      <c r="G55" s="273"/>
      <c r="H55" s="8"/>
      <c r="I55" s="5"/>
      <c r="J55" s="410">
        <f t="shared" si="0"/>
        <v>0</v>
      </c>
      <c r="K55" s="2"/>
      <c r="L55" s="8"/>
      <c r="M55" s="7"/>
      <c r="N55" s="9" t="str">
        <f t="shared" si="1"/>
        <v/>
      </c>
      <c r="O55" s="20"/>
      <c r="Q55" s="600">
        <f t="shared" si="2"/>
        <v>0</v>
      </c>
      <c r="R55" s="600">
        <f t="shared" si="3"/>
        <v>0</v>
      </c>
    </row>
    <row r="56" spans="1:18">
      <c r="A56" s="572"/>
      <c r="B56" s="573"/>
      <c r="C56" s="577"/>
      <c r="D56" s="577"/>
      <c r="E56" s="3"/>
      <c r="F56" s="273"/>
      <c r="G56" s="273"/>
      <c r="H56" s="8"/>
      <c r="I56" s="5"/>
      <c r="J56" s="410">
        <f t="shared" si="0"/>
        <v>0</v>
      </c>
      <c r="K56" s="2"/>
      <c r="L56" s="8"/>
      <c r="M56" s="7"/>
      <c r="N56" s="9" t="str">
        <f t="shared" si="1"/>
        <v/>
      </c>
      <c r="O56" s="20"/>
      <c r="Q56" s="600">
        <f t="shared" si="2"/>
        <v>0</v>
      </c>
      <c r="R56" s="600">
        <f t="shared" si="3"/>
        <v>0</v>
      </c>
    </row>
    <row r="57" spans="1:18">
      <c r="A57" s="572"/>
      <c r="B57" s="573"/>
      <c r="C57" s="577"/>
      <c r="D57" s="577"/>
      <c r="E57" s="3"/>
      <c r="F57" s="273"/>
      <c r="G57" s="273"/>
      <c r="H57" s="8"/>
      <c r="I57" s="5"/>
      <c r="J57" s="410">
        <f t="shared" si="0"/>
        <v>0</v>
      </c>
      <c r="K57" s="2"/>
      <c r="L57" s="8"/>
      <c r="M57" s="7"/>
      <c r="N57" s="9" t="str">
        <f t="shared" si="1"/>
        <v/>
      </c>
      <c r="O57" s="20"/>
      <c r="Q57" s="600">
        <f t="shared" si="2"/>
        <v>0</v>
      </c>
      <c r="R57" s="600">
        <f t="shared" si="3"/>
        <v>0</v>
      </c>
    </row>
    <row r="58" spans="1:18">
      <c r="A58" s="572"/>
      <c r="B58" s="573"/>
      <c r="C58" s="577"/>
      <c r="D58" s="577"/>
      <c r="E58" s="3"/>
      <c r="F58" s="273"/>
      <c r="G58" s="273"/>
      <c r="H58" s="8"/>
      <c r="I58" s="5"/>
      <c r="J58" s="410">
        <f t="shared" si="0"/>
        <v>0</v>
      </c>
      <c r="K58" s="2"/>
      <c r="L58" s="8"/>
      <c r="M58" s="7"/>
      <c r="N58" s="9" t="str">
        <f t="shared" si="1"/>
        <v/>
      </c>
      <c r="O58" s="20"/>
      <c r="Q58" s="600">
        <f t="shared" si="2"/>
        <v>0</v>
      </c>
      <c r="R58" s="600">
        <f t="shared" si="3"/>
        <v>0</v>
      </c>
    </row>
    <row r="59" spans="1:18">
      <c r="A59" s="572"/>
      <c r="B59" s="573"/>
      <c r="C59" s="577"/>
      <c r="D59" s="577"/>
      <c r="E59" s="3"/>
      <c r="F59" s="273"/>
      <c r="G59" s="273"/>
      <c r="H59" s="8"/>
      <c r="I59" s="5"/>
      <c r="J59" s="410">
        <f t="shared" si="0"/>
        <v>0</v>
      </c>
      <c r="K59" s="2"/>
      <c r="L59" s="8"/>
      <c r="M59" s="7"/>
      <c r="N59" s="9" t="str">
        <f t="shared" si="1"/>
        <v/>
      </c>
      <c r="O59" s="20"/>
      <c r="Q59" s="600">
        <f t="shared" si="2"/>
        <v>0</v>
      </c>
      <c r="R59" s="600">
        <f t="shared" si="3"/>
        <v>0</v>
      </c>
    </row>
    <row r="60" spans="1:18">
      <c r="A60" s="572"/>
      <c r="B60" s="573"/>
      <c r="C60" s="577"/>
      <c r="D60" s="577"/>
      <c r="E60" s="3"/>
      <c r="F60" s="273"/>
      <c r="G60" s="273"/>
      <c r="H60" s="8"/>
      <c r="I60" s="5"/>
      <c r="J60" s="410">
        <f t="shared" si="0"/>
        <v>0</v>
      </c>
      <c r="K60" s="2"/>
      <c r="L60" s="8"/>
      <c r="M60" s="7"/>
      <c r="N60" s="9" t="str">
        <f t="shared" si="1"/>
        <v/>
      </c>
      <c r="O60" s="20"/>
      <c r="Q60" s="600">
        <f t="shared" si="2"/>
        <v>0</v>
      </c>
      <c r="R60" s="600">
        <f t="shared" si="3"/>
        <v>0</v>
      </c>
    </row>
    <row r="61" spans="1:18">
      <c r="A61" s="572"/>
      <c r="B61" s="573"/>
      <c r="C61" s="577"/>
      <c r="D61" s="577"/>
      <c r="E61" s="3"/>
      <c r="F61" s="273"/>
      <c r="G61" s="273"/>
      <c r="H61" s="8"/>
      <c r="I61" s="5"/>
      <c r="J61" s="410">
        <f t="shared" si="0"/>
        <v>0</v>
      </c>
      <c r="K61" s="2"/>
      <c r="L61" s="8"/>
      <c r="M61" s="7"/>
      <c r="N61" s="9" t="str">
        <f t="shared" si="1"/>
        <v/>
      </c>
      <c r="O61" s="20"/>
      <c r="Q61" s="600">
        <f t="shared" si="2"/>
        <v>0</v>
      </c>
      <c r="R61" s="600">
        <f t="shared" si="3"/>
        <v>0</v>
      </c>
    </row>
    <row r="62" spans="1:18">
      <c r="A62" s="572"/>
      <c r="B62" s="573"/>
      <c r="C62" s="577"/>
      <c r="D62" s="577"/>
      <c r="E62" s="3"/>
      <c r="F62" s="273"/>
      <c r="G62" s="273"/>
      <c r="H62" s="8"/>
      <c r="I62" s="5"/>
      <c r="J62" s="410">
        <f t="shared" si="0"/>
        <v>0</v>
      </c>
      <c r="K62" s="2"/>
      <c r="L62" s="8"/>
      <c r="M62" s="7"/>
      <c r="N62" s="9" t="str">
        <f t="shared" si="1"/>
        <v/>
      </c>
      <c r="O62" s="20"/>
      <c r="Q62" s="600">
        <f t="shared" si="2"/>
        <v>0</v>
      </c>
      <c r="R62" s="600">
        <f t="shared" si="3"/>
        <v>0</v>
      </c>
    </row>
    <row r="63" spans="1:18">
      <c r="A63" s="572"/>
      <c r="B63" s="573"/>
      <c r="C63" s="577"/>
      <c r="D63" s="577"/>
      <c r="E63" s="3"/>
      <c r="F63" s="273"/>
      <c r="G63" s="273"/>
      <c r="H63" s="8"/>
      <c r="I63" s="5"/>
      <c r="J63" s="410">
        <f t="shared" si="0"/>
        <v>0</v>
      </c>
      <c r="K63" s="2"/>
      <c r="L63" s="8"/>
      <c r="M63" s="7"/>
      <c r="N63" s="9" t="str">
        <f t="shared" si="1"/>
        <v/>
      </c>
      <c r="O63" s="20"/>
      <c r="Q63" s="600">
        <f t="shared" si="2"/>
        <v>0</v>
      </c>
      <c r="R63" s="600">
        <f t="shared" si="3"/>
        <v>0</v>
      </c>
    </row>
    <row r="64" spans="1:18">
      <c r="A64" s="572"/>
      <c r="B64" s="573"/>
      <c r="C64" s="577"/>
      <c r="D64" s="577"/>
      <c r="E64" s="3"/>
      <c r="F64" s="273"/>
      <c r="G64" s="273"/>
      <c r="H64" s="8"/>
      <c r="I64" s="5"/>
      <c r="J64" s="410">
        <f t="shared" si="0"/>
        <v>0</v>
      </c>
      <c r="K64" s="2"/>
      <c r="L64" s="8"/>
      <c r="M64" s="7"/>
      <c r="N64" s="9" t="str">
        <f t="shared" si="1"/>
        <v/>
      </c>
      <c r="O64" s="20"/>
      <c r="Q64" s="600">
        <f t="shared" si="2"/>
        <v>0</v>
      </c>
      <c r="R64" s="600">
        <f t="shared" si="3"/>
        <v>0</v>
      </c>
    </row>
    <row r="65" spans="1:18">
      <c r="A65" s="572"/>
      <c r="B65" s="573"/>
      <c r="C65" s="577"/>
      <c r="D65" s="577"/>
      <c r="E65" s="3"/>
      <c r="F65" s="273"/>
      <c r="G65" s="273"/>
      <c r="H65" s="8"/>
      <c r="I65" s="5"/>
      <c r="J65" s="410">
        <f t="shared" si="0"/>
        <v>0</v>
      </c>
      <c r="K65" s="2"/>
      <c r="L65" s="8"/>
      <c r="M65" s="7"/>
      <c r="N65" s="9" t="str">
        <f t="shared" si="1"/>
        <v/>
      </c>
      <c r="O65" s="20"/>
      <c r="Q65" s="600">
        <f t="shared" si="2"/>
        <v>0</v>
      </c>
      <c r="R65" s="600">
        <f t="shared" si="3"/>
        <v>0</v>
      </c>
    </row>
    <row r="66" spans="1:18">
      <c r="A66" s="572"/>
      <c r="B66" s="573"/>
      <c r="C66" s="577"/>
      <c r="D66" s="577"/>
      <c r="E66" s="3"/>
      <c r="F66" s="273"/>
      <c r="G66" s="273"/>
      <c r="H66" s="8"/>
      <c r="I66" s="5"/>
      <c r="J66" s="410">
        <f t="shared" si="0"/>
        <v>0</v>
      </c>
      <c r="K66" s="2"/>
      <c r="L66" s="8"/>
      <c r="M66" s="7"/>
      <c r="N66" s="9" t="str">
        <f t="shared" si="1"/>
        <v/>
      </c>
      <c r="O66" s="20"/>
      <c r="Q66" s="600">
        <f t="shared" si="2"/>
        <v>0</v>
      </c>
      <c r="R66" s="600">
        <f t="shared" si="3"/>
        <v>0</v>
      </c>
    </row>
    <row r="67" spans="1:18">
      <c r="A67" s="572"/>
      <c r="B67" s="573"/>
      <c r="C67" s="577"/>
      <c r="D67" s="577"/>
      <c r="E67" s="3"/>
      <c r="F67" s="273"/>
      <c r="G67" s="273"/>
      <c r="H67" s="8"/>
      <c r="I67" s="5"/>
      <c r="J67" s="410">
        <f t="shared" si="0"/>
        <v>0</v>
      </c>
      <c r="K67" s="2"/>
      <c r="L67" s="8"/>
      <c r="M67" s="7"/>
      <c r="N67" s="9" t="str">
        <f t="shared" si="1"/>
        <v/>
      </c>
      <c r="O67" s="20"/>
      <c r="Q67" s="600">
        <f t="shared" si="2"/>
        <v>0</v>
      </c>
      <c r="R67" s="600">
        <f t="shared" si="3"/>
        <v>0</v>
      </c>
    </row>
    <row r="68" spans="1:18">
      <c r="A68" s="572"/>
      <c r="B68" s="573"/>
      <c r="C68" s="577"/>
      <c r="D68" s="577"/>
      <c r="E68" s="3"/>
      <c r="F68" s="273"/>
      <c r="G68" s="273"/>
      <c r="H68" s="8"/>
      <c r="I68" s="5"/>
      <c r="J68" s="410">
        <f t="shared" si="0"/>
        <v>0</v>
      </c>
      <c r="K68" s="2"/>
      <c r="L68" s="8"/>
      <c r="M68" s="7"/>
      <c r="N68" s="9" t="str">
        <f t="shared" si="1"/>
        <v/>
      </c>
      <c r="O68" s="20"/>
      <c r="Q68" s="600">
        <f t="shared" si="2"/>
        <v>0</v>
      </c>
      <c r="R68" s="600">
        <f t="shared" si="3"/>
        <v>0</v>
      </c>
    </row>
    <row r="69" spans="1:18">
      <c r="A69" s="572"/>
      <c r="B69" s="573"/>
      <c r="C69" s="577"/>
      <c r="D69" s="577"/>
      <c r="E69" s="3"/>
      <c r="F69" s="273"/>
      <c r="G69" s="273"/>
      <c r="H69" s="8"/>
      <c r="I69" s="5"/>
      <c r="J69" s="410">
        <f t="shared" si="0"/>
        <v>0</v>
      </c>
      <c r="K69" s="2"/>
      <c r="L69" s="8"/>
      <c r="M69" s="7"/>
      <c r="N69" s="9" t="str">
        <f t="shared" si="1"/>
        <v/>
      </c>
      <c r="O69" s="20"/>
      <c r="Q69" s="600">
        <f t="shared" si="2"/>
        <v>0</v>
      </c>
      <c r="R69" s="600">
        <f t="shared" si="3"/>
        <v>0</v>
      </c>
    </row>
    <row r="70" spans="1:18">
      <c r="A70" s="572"/>
      <c r="B70" s="573"/>
      <c r="C70" s="577"/>
      <c r="D70" s="577"/>
      <c r="E70" s="3"/>
      <c r="F70" s="273"/>
      <c r="G70" s="273"/>
      <c r="H70" s="8"/>
      <c r="I70" s="5"/>
      <c r="J70" s="410">
        <f t="shared" ref="J70:J133" si="4">(+F70*G70+H70*I70)*E70</f>
        <v>0</v>
      </c>
      <c r="K70" s="2"/>
      <c r="L70" s="8"/>
      <c r="M70" s="7"/>
      <c r="N70" s="9" t="str">
        <f t="shared" ref="N70:N133" si="5">IF(K70=0,"",L70*M70*E70)</f>
        <v/>
      </c>
      <c r="O70" s="20"/>
      <c r="Q70" s="600">
        <f t="shared" ref="Q70:Q133" si="6">F70*G70*E70</f>
        <v>0</v>
      </c>
      <c r="R70" s="600">
        <f t="shared" ref="R70:R133" si="7">H70*E70*I70</f>
        <v>0</v>
      </c>
    </row>
    <row r="71" spans="1:18">
      <c r="A71" s="572"/>
      <c r="B71" s="573"/>
      <c r="C71" s="577"/>
      <c r="D71" s="577"/>
      <c r="E71" s="3"/>
      <c r="F71" s="273"/>
      <c r="G71" s="273"/>
      <c r="H71" s="8"/>
      <c r="I71" s="5"/>
      <c r="J71" s="410">
        <f t="shared" si="4"/>
        <v>0</v>
      </c>
      <c r="K71" s="2"/>
      <c r="L71" s="8"/>
      <c r="M71" s="7"/>
      <c r="N71" s="9" t="str">
        <f t="shared" si="5"/>
        <v/>
      </c>
      <c r="O71" s="20"/>
      <c r="Q71" s="600">
        <f t="shared" si="6"/>
        <v>0</v>
      </c>
      <c r="R71" s="600">
        <f t="shared" si="7"/>
        <v>0</v>
      </c>
    </row>
    <row r="72" spans="1:18">
      <c r="A72" s="572"/>
      <c r="B72" s="573"/>
      <c r="C72" s="577"/>
      <c r="D72" s="577"/>
      <c r="E72" s="3"/>
      <c r="F72" s="273"/>
      <c r="G72" s="273"/>
      <c r="H72" s="8"/>
      <c r="I72" s="5"/>
      <c r="J72" s="410">
        <f t="shared" si="4"/>
        <v>0</v>
      </c>
      <c r="K72" s="2"/>
      <c r="L72" s="8"/>
      <c r="M72" s="7"/>
      <c r="N72" s="9" t="str">
        <f t="shared" si="5"/>
        <v/>
      </c>
      <c r="O72" s="20"/>
      <c r="Q72" s="600">
        <f t="shared" si="6"/>
        <v>0</v>
      </c>
      <c r="R72" s="600">
        <f t="shared" si="7"/>
        <v>0</v>
      </c>
    </row>
    <row r="73" spans="1:18">
      <c r="A73" s="572"/>
      <c r="B73" s="573"/>
      <c r="C73" s="577"/>
      <c r="D73" s="577"/>
      <c r="E73" s="3"/>
      <c r="F73" s="273"/>
      <c r="G73" s="273"/>
      <c r="H73" s="8"/>
      <c r="I73" s="5"/>
      <c r="J73" s="410">
        <f t="shared" si="4"/>
        <v>0</v>
      </c>
      <c r="K73" s="2"/>
      <c r="L73" s="8"/>
      <c r="M73" s="7"/>
      <c r="N73" s="9" t="str">
        <f t="shared" si="5"/>
        <v/>
      </c>
      <c r="O73" s="20"/>
      <c r="Q73" s="600">
        <f t="shared" si="6"/>
        <v>0</v>
      </c>
      <c r="R73" s="600">
        <f t="shared" si="7"/>
        <v>0</v>
      </c>
    </row>
    <row r="74" spans="1:18">
      <c r="A74" s="572"/>
      <c r="B74" s="573"/>
      <c r="C74" s="577"/>
      <c r="D74" s="577"/>
      <c r="E74" s="3"/>
      <c r="F74" s="273"/>
      <c r="G74" s="273"/>
      <c r="H74" s="8"/>
      <c r="I74" s="5"/>
      <c r="J74" s="410">
        <f t="shared" si="4"/>
        <v>0</v>
      </c>
      <c r="K74" s="2"/>
      <c r="L74" s="8"/>
      <c r="M74" s="7"/>
      <c r="N74" s="9" t="str">
        <f t="shared" si="5"/>
        <v/>
      </c>
      <c r="O74" s="20"/>
      <c r="Q74" s="600">
        <f t="shared" si="6"/>
        <v>0</v>
      </c>
      <c r="R74" s="600">
        <f t="shared" si="7"/>
        <v>0</v>
      </c>
    </row>
    <row r="75" spans="1:18">
      <c r="A75" s="572"/>
      <c r="B75" s="573"/>
      <c r="C75" s="577"/>
      <c r="D75" s="577"/>
      <c r="E75" s="3"/>
      <c r="F75" s="273"/>
      <c r="G75" s="273"/>
      <c r="H75" s="8"/>
      <c r="I75" s="5"/>
      <c r="J75" s="410">
        <f t="shared" si="4"/>
        <v>0</v>
      </c>
      <c r="K75" s="2"/>
      <c r="L75" s="8"/>
      <c r="M75" s="7"/>
      <c r="N75" s="9" t="str">
        <f t="shared" si="5"/>
        <v/>
      </c>
      <c r="O75" s="20"/>
      <c r="Q75" s="600">
        <f t="shared" si="6"/>
        <v>0</v>
      </c>
      <c r="R75" s="600">
        <f t="shared" si="7"/>
        <v>0</v>
      </c>
    </row>
    <row r="76" spans="1:18">
      <c r="A76" s="572"/>
      <c r="B76" s="573"/>
      <c r="C76" s="577"/>
      <c r="D76" s="577"/>
      <c r="E76" s="3"/>
      <c r="F76" s="273"/>
      <c r="G76" s="273"/>
      <c r="H76" s="8"/>
      <c r="I76" s="5"/>
      <c r="J76" s="410">
        <f t="shared" si="4"/>
        <v>0</v>
      </c>
      <c r="K76" s="2"/>
      <c r="L76" s="8"/>
      <c r="M76" s="7"/>
      <c r="N76" s="9" t="str">
        <f t="shared" si="5"/>
        <v/>
      </c>
      <c r="O76" s="20"/>
      <c r="Q76" s="600">
        <f t="shared" si="6"/>
        <v>0</v>
      </c>
      <c r="R76" s="600">
        <f t="shared" si="7"/>
        <v>0</v>
      </c>
    </row>
    <row r="77" spans="1:18">
      <c r="A77" s="572"/>
      <c r="B77" s="573"/>
      <c r="C77" s="577"/>
      <c r="D77" s="577"/>
      <c r="E77" s="3"/>
      <c r="F77" s="273"/>
      <c r="G77" s="273"/>
      <c r="H77" s="8"/>
      <c r="I77" s="5"/>
      <c r="J77" s="410">
        <f t="shared" si="4"/>
        <v>0</v>
      </c>
      <c r="K77" s="2"/>
      <c r="L77" s="8"/>
      <c r="M77" s="7"/>
      <c r="N77" s="9" t="str">
        <f t="shared" si="5"/>
        <v/>
      </c>
      <c r="O77" s="20"/>
      <c r="Q77" s="600">
        <f t="shared" si="6"/>
        <v>0</v>
      </c>
      <c r="R77" s="600">
        <f t="shared" si="7"/>
        <v>0</v>
      </c>
    </row>
    <row r="78" spans="1:18">
      <c r="A78" s="572"/>
      <c r="B78" s="573"/>
      <c r="C78" s="577"/>
      <c r="D78" s="577"/>
      <c r="E78" s="3"/>
      <c r="F78" s="273"/>
      <c r="G78" s="273"/>
      <c r="H78" s="8"/>
      <c r="I78" s="5"/>
      <c r="J78" s="410">
        <f t="shared" si="4"/>
        <v>0</v>
      </c>
      <c r="K78" s="2"/>
      <c r="L78" s="8"/>
      <c r="M78" s="7"/>
      <c r="N78" s="9" t="str">
        <f t="shared" si="5"/>
        <v/>
      </c>
      <c r="O78" s="20"/>
      <c r="Q78" s="600">
        <f t="shared" si="6"/>
        <v>0</v>
      </c>
      <c r="R78" s="600">
        <f t="shared" si="7"/>
        <v>0</v>
      </c>
    </row>
    <row r="79" spans="1:18">
      <c r="A79" s="572"/>
      <c r="B79" s="573"/>
      <c r="C79" s="577"/>
      <c r="D79" s="577"/>
      <c r="E79" s="3"/>
      <c r="F79" s="273"/>
      <c r="G79" s="273"/>
      <c r="H79" s="8"/>
      <c r="I79" s="5"/>
      <c r="J79" s="410">
        <f t="shared" si="4"/>
        <v>0</v>
      </c>
      <c r="K79" s="2"/>
      <c r="L79" s="8"/>
      <c r="M79" s="7"/>
      <c r="N79" s="9" t="str">
        <f t="shared" si="5"/>
        <v/>
      </c>
      <c r="O79" s="20"/>
      <c r="Q79" s="600">
        <f t="shared" si="6"/>
        <v>0</v>
      </c>
      <c r="R79" s="600">
        <f t="shared" si="7"/>
        <v>0</v>
      </c>
    </row>
    <row r="80" spans="1:18">
      <c r="A80" s="572"/>
      <c r="B80" s="573"/>
      <c r="C80" s="577"/>
      <c r="D80" s="577"/>
      <c r="E80" s="3"/>
      <c r="F80" s="273"/>
      <c r="G80" s="273"/>
      <c r="H80" s="8"/>
      <c r="I80" s="5"/>
      <c r="J80" s="410">
        <f t="shared" si="4"/>
        <v>0</v>
      </c>
      <c r="K80" s="2"/>
      <c r="L80" s="8"/>
      <c r="M80" s="7"/>
      <c r="N80" s="9" t="str">
        <f t="shared" si="5"/>
        <v/>
      </c>
      <c r="O80" s="20"/>
      <c r="Q80" s="600">
        <f t="shared" si="6"/>
        <v>0</v>
      </c>
      <c r="R80" s="600">
        <f t="shared" si="7"/>
        <v>0</v>
      </c>
    </row>
    <row r="81" spans="1:18">
      <c r="A81" s="572"/>
      <c r="B81" s="573"/>
      <c r="C81" s="577"/>
      <c r="D81" s="577"/>
      <c r="E81" s="3"/>
      <c r="F81" s="273"/>
      <c r="G81" s="273"/>
      <c r="H81" s="8"/>
      <c r="I81" s="5"/>
      <c r="J81" s="410">
        <f t="shared" si="4"/>
        <v>0</v>
      </c>
      <c r="K81" s="2"/>
      <c r="L81" s="8"/>
      <c r="M81" s="7"/>
      <c r="N81" s="9" t="str">
        <f t="shared" si="5"/>
        <v/>
      </c>
      <c r="O81" s="20"/>
      <c r="Q81" s="600">
        <f t="shared" si="6"/>
        <v>0</v>
      </c>
      <c r="R81" s="600">
        <f t="shared" si="7"/>
        <v>0</v>
      </c>
    </row>
    <row r="82" spans="1:18">
      <c r="A82" s="572"/>
      <c r="B82" s="573"/>
      <c r="C82" s="577"/>
      <c r="D82" s="577"/>
      <c r="E82" s="3"/>
      <c r="F82" s="273"/>
      <c r="G82" s="273"/>
      <c r="H82" s="8"/>
      <c r="I82" s="5"/>
      <c r="J82" s="410">
        <f t="shared" si="4"/>
        <v>0</v>
      </c>
      <c r="K82" s="2"/>
      <c r="L82" s="8"/>
      <c r="M82" s="7"/>
      <c r="N82" s="9" t="str">
        <f t="shared" si="5"/>
        <v/>
      </c>
      <c r="O82" s="20"/>
      <c r="Q82" s="600">
        <f t="shared" si="6"/>
        <v>0</v>
      </c>
      <c r="R82" s="600">
        <f t="shared" si="7"/>
        <v>0</v>
      </c>
    </row>
    <row r="83" spans="1:18">
      <c r="A83" s="572"/>
      <c r="B83" s="573"/>
      <c r="C83" s="577"/>
      <c r="D83" s="577"/>
      <c r="E83" s="3"/>
      <c r="F83" s="273"/>
      <c r="G83" s="273"/>
      <c r="H83" s="8"/>
      <c r="I83" s="5"/>
      <c r="J83" s="410">
        <f t="shared" si="4"/>
        <v>0</v>
      </c>
      <c r="K83" s="2"/>
      <c r="L83" s="8"/>
      <c r="M83" s="7"/>
      <c r="N83" s="9" t="str">
        <f t="shared" si="5"/>
        <v/>
      </c>
      <c r="O83" s="20"/>
      <c r="Q83" s="600">
        <f t="shared" si="6"/>
        <v>0</v>
      </c>
      <c r="R83" s="600">
        <f t="shared" si="7"/>
        <v>0</v>
      </c>
    </row>
    <row r="84" spans="1:18">
      <c r="A84" s="572"/>
      <c r="B84" s="573"/>
      <c r="C84" s="577"/>
      <c r="D84" s="577"/>
      <c r="E84" s="3"/>
      <c r="F84" s="273"/>
      <c r="G84" s="273"/>
      <c r="H84" s="8"/>
      <c r="I84" s="5"/>
      <c r="J84" s="410">
        <f t="shared" si="4"/>
        <v>0</v>
      </c>
      <c r="K84" s="2"/>
      <c r="L84" s="8"/>
      <c r="M84" s="7"/>
      <c r="N84" s="9" t="str">
        <f t="shared" si="5"/>
        <v/>
      </c>
      <c r="O84" s="20"/>
      <c r="Q84" s="600">
        <f t="shared" si="6"/>
        <v>0</v>
      </c>
      <c r="R84" s="600">
        <f t="shared" si="7"/>
        <v>0</v>
      </c>
    </row>
    <row r="85" spans="1:18">
      <c r="A85" s="572"/>
      <c r="B85" s="573"/>
      <c r="C85" s="577"/>
      <c r="D85" s="577"/>
      <c r="E85" s="3"/>
      <c r="F85" s="273"/>
      <c r="G85" s="273"/>
      <c r="H85" s="8"/>
      <c r="I85" s="5"/>
      <c r="J85" s="410">
        <f t="shared" si="4"/>
        <v>0</v>
      </c>
      <c r="K85" s="2"/>
      <c r="L85" s="8"/>
      <c r="M85" s="7"/>
      <c r="N85" s="9" t="str">
        <f t="shared" si="5"/>
        <v/>
      </c>
      <c r="O85" s="20"/>
      <c r="Q85" s="600">
        <f t="shared" si="6"/>
        <v>0</v>
      </c>
      <c r="R85" s="600">
        <f t="shared" si="7"/>
        <v>0</v>
      </c>
    </row>
    <row r="86" spans="1:18">
      <c r="A86" s="572"/>
      <c r="B86" s="573"/>
      <c r="C86" s="577"/>
      <c r="D86" s="577"/>
      <c r="E86" s="3"/>
      <c r="F86" s="273"/>
      <c r="G86" s="273"/>
      <c r="H86" s="8"/>
      <c r="I86" s="5"/>
      <c r="J86" s="410">
        <f t="shared" si="4"/>
        <v>0</v>
      </c>
      <c r="K86" s="2"/>
      <c r="L86" s="8"/>
      <c r="M86" s="7"/>
      <c r="N86" s="9" t="str">
        <f t="shared" si="5"/>
        <v/>
      </c>
      <c r="O86" s="20"/>
      <c r="Q86" s="600">
        <f t="shared" si="6"/>
        <v>0</v>
      </c>
      <c r="R86" s="600">
        <f t="shared" si="7"/>
        <v>0</v>
      </c>
    </row>
    <row r="87" spans="1:18">
      <c r="A87" s="578"/>
      <c r="B87" s="579"/>
      <c r="C87" s="577"/>
      <c r="D87" s="577"/>
      <c r="E87" s="3"/>
      <c r="F87" s="273"/>
      <c r="G87" s="273"/>
      <c r="H87" s="8"/>
      <c r="I87" s="5"/>
      <c r="J87" s="410">
        <f t="shared" si="4"/>
        <v>0</v>
      </c>
      <c r="K87" s="2"/>
      <c r="L87" s="8"/>
      <c r="M87" s="7"/>
      <c r="N87" s="9" t="str">
        <f t="shared" si="5"/>
        <v/>
      </c>
      <c r="O87" s="20"/>
      <c r="Q87" s="600">
        <f t="shared" si="6"/>
        <v>0</v>
      </c>
      <c r="R87" s="600">
        <f t="shared" si="7"/>
        <v>0</v>
      </c>
    </row>
    <row r="88" spans="1:18">
      <c r="A88" s="572"/>
      <c r="B88" s="573"/>
      <c r="C88" s="577"/>
      <c r="D88" s="577"/>
      <c r="E88" s="3"/>
      <c r="F88" s="273"/>
      <c r="G88" s="273"/>
      <c r="H88" s="8"/>
      <c r="I88" s="5"/>
      <c r="J88" s="410">
        <f t="shared" si="4"/>
        <v>0</v>
      </c>
      <c r="K88" s="2"/>
      <c r="L88" s="8"/>
      <c r="M88" s="7"/>
      <c r="N88" s="9" t="str">
        <f t="shared" si="5"/>
        <v/>
      </c>
      <c r="O88" s="20"/>
      <c r="Q88" s="600">
        <f t="shared" si="6"/>
        <v>0</v>
      </c>
      <c r="R88" s="600">
        <f t="shared" si="7"/>
        <v>0</v>
      </c>
    </row>
    <row r="89" spans="1:18">
      <c r="A89" s="572"/>
      <c r="B89" s="573"/>
      <c r="C89" s="577"/>
      <c r="D89" s="577"/>
      <c r="E89" s="3"/>
      <c r="F89" s="273"/>
      <c r="G89" s="273"/>
      <c r="H89" s="8"/>
      <c r="I89" s="5"/>
      <c r="J89" s="410">
        <f t="shared" si="4"/>
        <v>0</v>
      </c>
      <c r="K89" s="2"/>
      <c r="L89" s="8"/>
      <c r="M89" s="7"/>
      <c r="N89" s="9" t="str">
        <f t="shared" si="5"/>
        <v/>
      </c>
      <c r="O89" s="20"/>
      <c r="Q89" s="600">
        <f t="shared" si="6"/>
        <v>0</v>
      </c>
      <c r="R89" s="600">
        <f t="shared" si="7"/>
        <v>0</v>
      </c>
    </row>
    <row r="90" spans="1:18">
      <c r="A90" s="572"/>
      <c r="B90" s="573"/>
      <c r="C90" s="577"/>
      <c r="D90" s="577"/>
      <c r="E90" s="3"/>
      <c r="F90" s="273"/>
      <c r="G90" s="273"/>
      <c r="H90" s="8"/>
      <c r="I90" s="5"/>
      <c r="J90" s="410">
        <f t="shared" si="4"/>
        <v>0</v>
      </c>
      <c r="K90" s="2"/>
      <c r="L90" s="8"/>
      <c r="M90" s="7"/>
      <c r="N90" s="9" t="str">
        <f t="shared" si="5"/>
        <v/>
      </c>
      <c r="O90" s="20"/>
      <c r="Q90" s="600">
        <f t="shared" si="6"/>
        <v>0</v>
      </c>
      <c r="R90" s="600">
        <f t="shared" si="7"/>
        <v>0</v>
      </c>
    </row>
    <row r="91" spans="1:18">
      <c r="A91" s="572"/>
      <c r="B91" s="573"/>
      <c r="C91" s="577"/>
      <c r="D91" s="577"/>
      <c r="E91" s="3"/>
      <c r="F91" s="273"/>
      <c r="G91" s="273"/>
      <c r="H91" s="8"/>
      <c r="I91" s="5"/>
      <c r="J91" s="410">
        <f t="shared" si="4"/>
        <v>0</v>
      </c>
      <c r="K91" s="2"/>
      <c r="L91" s="8"/>
      <c r="M91" s="7"/>
      <c r="N91" s="9" t="str">
        <f t="shared" si="5"/>
        <v/>
      </c>
      <c r="O91" s="20"/>
      <c r="Q91" s="600">
        <f t="shared" si="6"/>
        <v>0</v>
      </c>
      <c r="R91" s="600">
        <f t="shared" si="7"/>
        <v>0</v>
      </c>
    </row>
    <row r="92" spans="1:18">
      <c r="A92" s="572"/>
      <c r="B92" s="573"/>
      <c r="C92" s="577"/>
      <c r="D92" s="577"/>
      <c r="E92" s="3"/>
      <c r="F92" s="273"/>
      <c r="G92" s="273"/>
      <c r="H92" s="8"/>
      <c r="I92" s="5"/>
      <c r="J92" s="410">
        <f t="shared" si="4"/>
        <v>0</v>
      </c>
      <c r="K92" s="2"/>
      <c r="L92" s="8"/>
      <c r="M92" s="7"/>
      <c r="N92" s="9" t="str">
        <f t="shared" si="5"/>
        <v/>
      </c>
      <c r="O92" s="20"/>
      <c r="Q92" s="600">
        <f t="shared" si="6"/>
        <v>0</v>
      </c>
      <c r="R92" s="600">
        <f t="shared" si="7"/>
        <v>0</v>
      </c>
    </row>
    <row r="93" spans="1:18">
      <c r="A93" s="572"/>
      <c r="B93" s="573"/>
      <c r="C93" s="577"/>
      <c r="D93" s="577"/>
      <c r="E93" s="3"/>
      <c r="F93" s="273"/>
      <c r="G93" s="273"/>
      <c r="H93" s="8"/>
      <c r="I93" s="5"/>
      <c r="J93" s="410">
        <f t="shared" si="4"/>
        <v>0</v>
      </c>
      <c r="K93" s="2"/>
      <c r="L93" s="8"/>
      <c r="M93" s="7"/>
      <c r="N93" s="9" t="str">
        <f t="shared" si="5"/>
        <v/>
      </c>
      <c r="O93" s="20"/>
      <c r="Q93" s="600">
        <f t="shared" si="6"/>
        <v>0</v>
      </c>
      <c r="R93" s="600">
        <f t="shared" si="7"/>
        <v>0</v>
      </c>
    </row>
    <row r="94" spans="1:18">
      <c r="A94" s="572"/>
      <c r="B94" s="573"/>
      <c r="C94" s="577"/>
      <c r="D94" s="577"/>
      <c r="E94" s="3"/>
      <c r="F94" s="273"/>
      <c r="G94" s="273"/>
      <c r="H94" s="8"/>
      <c r="I94" s="5"/>
      <c r="J94" s="410">
        <f t="shared" si="4"/>
        <v>0</v>
      </c>
      <c r="K94" s="2"/>
      <c r="L94" s="8"/>
      <c r="M94" s="7"/>
      <c r="N94" s="9" t="str">
        <f t="shared" si="5"/>
        <v/>
      </c>
      <c r="O94" s="20"/>
      <c r="Q94" s="600">
        <f t="shared" si="6"/>
        <v>0</v>
      </c>
      <c r="R94" s="600">
        <f t="shared" si="7"/>
        <v>0</v>
      </c>
    </row>
    <row r="95" spans="1:18">
      <c r="A95" s="572"/>
      <c r="B95" s="573"/>
      <c r="C95" s="577"/>
      <c r="D95" s="577"/>
      <c r="E95" s="3"/>
      <c r="F95" s="273"/>
      <c r="G95" s="273"/>
      <c r="H95" s="8"/>
      <c r="I95" s="5"/>
      <c r="J95" s="410">
        <f t="shared" si="4"/>
        <v>0</v>
      </c>
      <c r="K95" s="2"/>
      <c r="L95" s="8"/>
      <c r="M95" s="7"/>
      <c r="N95" s="9" t="str">
        <f t="shared" si="5"/>
        <v/>
      </c>
      <c r="O95" s="20"/>
      <c r="Q95" s="600">
        <f t="shared" si="6"/>
        <v>0</v>
      </c>
      <c r="R95" s="600">
        <f t="shared" si="7"/>
        <v>0</v>
      </c>
    </row>
    <row r="96" spans="1:18">
      <c r="A96" s="572"/>
      <c r="B96" s="573"/>
      <c r="C96" s="577"/>
      <c r="D96" s="577"/>
      <c r="E96" s="3"/>
      <c r="F96" s="273"/>
      <c r="G96" s="273"/>
      <c r="H96" s="8"/>
      <c r="I96" s="5"/>
      <c r="J96" s="410">
        <f t="shared" si="4"/>
        <v>0</v>
      </c>
      <c r="K96" s="2"/>
      <c r="L96" s="8"/>
      <c r="M96" s="7"/>
      <c r="N96" s="9" t="str">
        <f t="shared" si="5"/>
        <v/>
      </c>
      <c r="O96" s="20"/>
      <c r="Q96" s="600">
        <f t="shared" si="6"/>
        <v>0</v>
      </c>
      <c r="R96" s="600">
        <f t="shared" si="7"/>
        <v>0</v>
      </c>
    </row>
    <row r="97" spans="1:18">
      <c r="A97" s="572"/>
      <c r="B97" s="573"/>
      <c r="C97" s="577"/>
      <c r="D97" s="577"/>
      <c r="E97" s="3"/>
      <c r="F97" s="273"/>
      <c r="G97" s="273"/>
      <c r="H97" s="8"/>
      <c r="I97" s="5"/>
      <c r="J97" s="410">
        <f t="shared" si="4"/>
        <v>0</v>
      </c>
      <c r="K97" s="2"/>
      <c r="L97" s="8"/>
      <c r="M97" s="7"/>
      <c r="N97" s="9" t="str">
        <f t="shared" si="5"/>
        <v/>
      </c>
      <c r="O97" s="20"/>
      <c r="Q97" s="600">
        <f t="shared" si="6"/>
        <v>0</v>
      </c>
      <c r="R97" s="600">
        <f t="shared" si="7"/>
        <v>0</v>
      </c>
    </row>
    <row r="98" spans="1:18">
      <c r="A98" s="572"/>
      <c r="B98" s="573"/>
      <c r="C98" s="577"/>
      <c r="D98" s="577"/>
      <c r="E98" s="3"/>
      <c r="F98" s="273"/>
      <c r="G98" s="273"/>
      <c r="H98" s="8"/>
      <c r="I98" s="5"/>
      <c r="J98" s="410">
        <f t="shared" si="4"/>
        <v>0</v>
      </c>
      <c r="K98" s="2"/>
      <c r="L98" s="8"/>
      <c r="M98" s="7"/>
      <c r="N98" s="9" t="str">
        <f t="shared" si="5"/>
        <v/>
      </c>
      <c r="O98" s="20"/>
      <c r="Q98" s="600">
        <f t="shared" si="6"/>
        <v>0</v>
      </c>
      <c r="R98" s="600">
        <f t="shared" si="7"/>
        <v>0</v>
      </c>
    </row>
    <row r="99" spans="1:18">
      <c r="A99" s="572"/>
      <c r="B99" s="573"/>
      <c r="C99" s="577"/>
      <c r="D99" s="577"/>
      <c r="E99" s="3"/>
      <c r="F99" s="273"/>
      <c r="G99" s="273"/>
      <c r="H99" s="8"/>
      <c r="I99" s="5"/>
      <c r="J99" s="410">
        <f t="shared" si="4"/>
        <v>0</v>
      </c>
      <c r="K99" s="2"/>
      <c r="L99" s="8"/>
      <c r="M99" s="7"/>
      <c r="N99" s="9" t="str">
        <f t="shared" si="5"/>
        <v/>
      </c>
      <c r="O99" s="20"/>
      <c r="Q99" s="600">
        <f t="shared" si="6"/>
        <v>0</v>
      </c>
      <c r="R99" s="600">
        <f t="shared" si="7"/>
        <v>0</v>
      </c>
    </row>
    <row r="100" spans="1:18">
      <c r="A100" s="572"/>
      <c r="B100" s="573"/>
      <c r="C100" s="577"/>
      <c r="D100" s="577"/>
      <c r="E100" s="3"/>
      <c r="F100" s="273"/>
      <c r="G100" s="273"/>
      <c r="H100" s="8"/>
      <c r="I100" s="5"/>
      <c r="J100" s="410">
        <f t="shared" si="4"/>
        <v>0</v>
      </c>
      <c r="K100" s="2"/>
      <c r="L100" s="8"/>
      <c r="M100" s="7"/>
      <c r="N100" s="9" t="str">
        <f t="shared" si="5"/>
        <v/>
      </c>
      <c r="O100" s="20"/>
      <c r="Q100" s="600">
        <f t="shared" si="6"/>
        <v>0</v>
      </c>
      <c r="R100" s="600">
        <f t="shared" si="7"/>
        <v>0</v>
      </c>
    </row>
    <row r="101" spans="1:18">
      <c r="A101" s="572"/>
      <c r="B101" s="573"/>
      <c r="C101" s="577"/>
      <c r="D101" s="577"/>
      <c r="E101" s="3"/>
      <c r="F101" s="273"/>
      <c r="G101" s="273"/>
      <c r="H101" s="8"/>
      <c r="I101" s="5"/>
      <c r="J101" s="410">
        <f t="shared" si="4"/>
        <v>0</v>
      </c>
      <c r="K101" s="2"/>
      <c r="L101" s="8"/>
      <c r="M101" s="7"/>
      <c r="N101" s="9" t="str">
        <f t="shared" si="5"/>
        <v/>
      </c>
      <c r="O101" s="20"/>
      <c r="Q101" s="600">
        <f t="shared" si="6"/>
        <v>0</v>
      </c>
      <c r="R101" s="600">
        <f t="shared" si="7"/>
        <v>0</v>
      </c>
    </row>
    <row r="102" spans="1:18">
      <c r="A102" s="572"/>
      <c r="B102" s="573"/>
      <c r="C102" s="577"/>
      <c r="D102" s="577"/>
      <c r="E102" s="3"/>
      <c r="F102" s="273"/>
      <c r="G102" s="273"/>
      <c r="H102" s="8"/>
      <c r="I102" s="5"/>
      <c r="J102" s="410">
        <f t="shared" si="4"/>
        <v>0</v>
      </c>
      <c r="K102" s="2"/>
      <c r="L102" s="8"/>
      <c r="M102" s="7"/>
      <c r="N102" s="9" t="str">
        <f t="shared" si="5"/>
        <v/>
      </c>
      <c r="O102" s="20"/>
      <c r="Q102" s="600">
        <f t="shared" si="6"/>
        <v>0</v>
      </c>
      <c r="R102" s="600">
        <f t="shared" si="7"/>
        <v>0</v>
      </c>
    </row>
    <row r="103" spans="1:18">
      <c r="A103" s="572"/>
      <c r="B103" s="573"/>
      <c r="C103" s="577"/>
      <c r="D103" s="577"/>
      <c r="E103" s="3"/>
      <c r="F103" s="273"/>
      <c r="G103" s="273"/>
      <c r="H103" s="8"/>
      <c r="I103" s="5"/>
      <c r="J103" s="410">
        <f t="shared" si="4"/>
        <v>0</v>
      </c>
      <c r="K103" s="2"/>
      <c r="L103" s="8"/>
      <c r="M103" s="7"/>
      <c r="N103" s="9" t="str">
        <f t="shared" si="5"/>
        <v/>
      </c>
      <c r="O103" s="20"/>
      <c r="Q103" s="600">
        <f t="shared" si="6"/>
        <v>0</v>
      </c>
      <c r="R103" s="600">
        <f t="shared" si="7"/>
        <v>0</v>
      </c>
    </row>
    <row r="104" spans="1:18">
      <c r="A104" s="572"/>
      <c r="B104" s="573"/>
      <c r="C104" s="577"/>
      <c r="D104" s="577"/>
      <c r="E104" s="3"/>
      <c r="F104" s="273"/>
      <c r="G104" s="273"/>
      <c r="H104" s="8"/>
      <c r="I104" s="5"/>
      <c r="J104" s="410">
        <f t="shared" si="4"/>
        <v>0</v>
      </c>
      <c r="K104" s="2"/>
      <c r="L104" s="8"/>
      <c r="M104" s="7"/>
      <c r="N104" s="9" t="str">
        <f t="shared" si="5"/>
        <v/>
      </c>
      <c r="O104" s="20"/>
      <c r="Q104" s="600">
        <f t="shared" si="6"/>
        <v>0</v>
      </c>
      <c r="R104" s="600">
        <f t="shared" si="7"/>
        <v>0</v>
      </c>
    </row>
    <row r="105" spans="1:18">
      <c r="A105" s="572"/>
      <c r="B105" s="573"/>
      <c r="C105" s="577"/>
      <c r="D105" s="577"/>
      <c r="E105" s="3"/>
      <c r="F105" s="273"/>
      <c r="G105" s="273"/>
      <c r="H105" s="8"/>
      <c r="I105" s="5"/>
      <c r="J105" s="410">
        <f t="shared" si="4"/>
        <v>0</v>
      </c>
      <c r="K105" s="2"/>
      <c r="L105" s="8"/>
      <c r="M105" s="7"/>
      <c r="N105" s="9" t="str">
        <f t="shared" si="5"/>
        <v/>
      </c>
      <c r="O105" s="20"/>
      <c r="Q105" s="600">
        <f t="shared" si="6"/>
        <v>0</v>
      </c>
      <c r="R105" s="600">
        <f t="shared" si="7"/>
        <v>0</v>
      </c>
    </row>
    <row r="106" spans="1:18">
      <c r="A106" s="572"/>
      <c r="B106" s="573"/>
      <c r="C106" s="577"/>
      <c r="D106" s="577"/>
      <c r="E106" s="3"/>
      <c r="F106" s="273"/>
      <c r="G106" s="273"/>
      <c r="H106" s="8"/>
      <c r="I106" s="5"/>
      <c r="J106" s="410">
        <f t="shared" si="4"/>
        <v>0</v>
      </c>
      <c r="K106" s="2"/>
      <c r="L106" s="8"/>
      <c r="M106" s="7"/>
      <c r="N106" s="9" t="str">
        <f t="shared" si="5"/>
        <v/>
      </c>
      <c r="O106" s="20"/>
      <c r="Q106" s="600">
        <f t="shared" si="6"/>
        <v>0</v>
      </c>
      <c r="R106" s="600">
        <f t="shared" si="7"/>
        <v>0</v>
      </c>
    </row>
    <row r="107" spans="1:18">
      <c r="A107" s="572"/>
      <c r="B107" s="573"/>
      <c r="C107" s="577"/>
      <c r="D107" s="577"/>
      <c r="E107" s="3"/>
      <c r="F107" s="273"/>
      <c r="G107" s="273"/>
      <c r="H107" s="8"/>
      <c r="I107" s="5"/>
      <c r="J107" s="410">
        <f t="shared" si="4"/>
        <v>0</v>
      </c>
      <c r="K107" s="2"/>
      <c r="L107" s="8"/>
      <c r="M107" s="7"/>
      <c r="N107" s="9" t="str">
        <f t="shared" si="5"/>
        <v/>
      </c>
      <c r="O107" s="20"/>
      <c r="Q107" s="600">
        <f t="shared" si="6"/>
        <v>0</v>
      </c>
      <c r="R107" s="600">
        <f t="shared" si="7"/>
        <v>0</v>
      </c>
    </row>
    <row r="108" spans="1:18">
      <c r="A108" s="572"/>
      <c r="B108" s="573"/>
      <c r="C108" s="577"/>
      <c r="D108" s="577"/>
      <c r="E108" s="3"/>
      <c r="F108" s="273"/>
      <c r="G108" s="273"/>
      <c r="H108" s="8"/>
      <c r="I108" s="5"/>
      <c r="J108" s="410">
        <f t="shared" si="4"/>
        <v>0</v>
      </c>
      <c r="K108" s="2"/>
      <c r="L108" s="8"/>
      <c r="M108" s="7"/>
      <c r="N108" s="9" t="str">
        <f t="shared" si="5"/>
        <v/>
      </c>
      <c r="O108" s="20"/>
      <c r="Q108" s="600">
        <f t="shared" si="6"/>
        <v>0</v>
      </c>
      <c r="R108" s="600">
        <f t="shared" si="7"/>
        <v>0</v>
      </c>
    </row>
    <row r="109" spans="1:18">
      <c r="A109" s="572"/>
      <c r="B109" s="573"/>
      <c r="C109" s="577"/>
      <c r="D109" s="577"/>
      <c r="E109" s="3"/>
      <c r="F109" s="273"/>
      <c r="G109" s="273"/>
      <c r="H109" s="8"/>
      <c r="I109" s="5"/>
      <c r="J109" s="410">
        <f t="shared" si="4"/>
        <v>0</v>
      </c>
      <c r="K109" s="2"/>
      <c r="L109" s="8"/>
      <c r="M109" s="7"/>
      <c r="N109" s="9" t="str">
        <f t="shared" si="5"/>
        <v/>
      </c>
      <c r="O109" s="20"/>
      <c r="Q109" s="600">
        <f t="shared" si="6"/>
        <v>0</v>
      </c>
      <c r="R109" s="600">
        <f t="shared" si="7"/>
        <v>0</v>
      </c>
    </row>
    <row r="110" spans="1:18">
      <c r="A110" s="572"/>
      <c r="B110" s="573"/>
      <c r="C110" s="577"/>
      <c r="D110" s="577"/>
      <c r="E110" s="3"/>
      <c r="F110" s="273"/>
      <c r="G110" s="273"/>
      <c r="H110" s="8"/>
      <c r="I110" s="5"/>
      <c r="J110" s="410">
        <f t="shared" si="4"/>
        <v>0</v>
      </c>
      <c r="K110" s="2"/>
      <c r="L110" s="8"/>
      <c r="M110" s="7"/>
      <c r="N110" s="9" t="str">
        <f t="shared" si="5"/>
        <v/>
      </c>
      <c r="O110" s="20"/>
      <c r="Q110" s="600">
        <f t="shared" si="6"/>
        <v>0</v>
      </c>
      <c r="R110" s="600">
        <f t="shared" si="7"/>
        <v>0</v>
      </c>
    </row>
    <row r="111" spans="1:18">
      <c r="A111" s="572"/>
      <c r="B111" s="573"/>
      <c r="C111" s="577"/>
      <c r="D111" s="577"/>
      <c r="E111" s="3"/>
      <c r="F111" s="273"/>
      <c r="G111" s="273"/>
      <c r="H111" s="8"/>
      <c r="I111" s="5"/>
      <c r="J111" s="410">
        <f t="shared" si="4"/>
        <v>0</v>
      </c>
      <c r="K111" s="2"/>
      <c r="L111" s="8"/>
      <c r="M111" s="7"/>
      <c r="N111" s="9" t="str">
        <f t="shared" si="5"/>
        <v/>
      </c>
      <c r="O111" s="20"/>
      <c r="Q111" s="600">
        <f t="shared" si="6"/>
        <v>0</v>
      </c>
      <c r="R111" s="600">
        <f t="shared" si="7"/>
        <v>0</v>
      </c>
    </row>
    <row r="112" spans="1:18">
      <c r="A112" s="572"/>
      <c r="B112" s="573"/>
      <c r="C112" s="577"/>
      <c r="D112" s="577"/>
      <c r="E112" s="3"/>
      <c r="F112" s="273"/>
      <c r="G112" s="273"/>
      <c r="H112" s="8"/>
      <c r="I112" s="5"/>
      <c r="J112" s="410">
        <f t="shared" si="4"/>
        <v>0</v>
      </c>
      <c r="K112" s="2"/>
      <c r="L112" s="8"/>
      <c r="M112" s="7"/>
      <c r="N112" s="9" t="str">
        <f t="shared" si="5"/>
        <v/>
      </c>
      <c r="O112" s="20"/>
      <c r="Q112" s="600">
        <f t="shared" si="6"/>
        <v>0</v>
      </c>
      <c r="R112" s="600">
        <f t="shared" si="7"/>
        <v>0</v>
      </c>
    </row>
    <row r="113" spans="1:18">
      <c r="A113" s="572"/>
      <c r="B113" s="573"/>
      <c r="C113" s="577"/>
      <c r="D113" s="577"/>
      <c r="E113" s="3"/>
      <c r="F113" s="273"/>
      <c r="G113" s="273"/>
      <c r="H113" s="8"/>
      <c r="I113" s="5"/>
      <c r="J113" s="410">
        <f t="shared" si="4"/>
        <v>0</v>
      </c>
      <c r="K113" s="2"/>
      <c r="L113" s="8"/>
      <c r="M113" s="7"/>
      <c r="N113" s="9" t="str">
        <f t="shared" si="5"/>
        <v/>
      </c>
      <c r="O113" s="20"/>
      <c r="Q113" s="600">
        <f t="shared" si="6"/>
        <v>0</v>
      </c>
      <c r="R113" s="600">
        <f t="shared" si="7"/>
        <v>0</v>
      </c>
    </row>
    <row r="114" spans="1:18">
      <c r="A114" s="572"/>
      <c r="B114" s="573"/>
      <c r="C114" s="577"/>
      <c r="D114" s="577"/>
      <c r="E114" s="3"/>
      <c r="F114" s="273"/>
      <c r="G114" s="273"/>
      <c r="H114" s="8"/>
      <c r="I114" s="5"/>
      <c r="J114" s="410">
        <f t="shared" si="4"/>
        <v>0</v>
      </c>
      <c r="K114" s="2"/>
      <c r="L114" s="8"/>
      <c r="M114" s="7"/>
      <c r="N114" s="9" t="str">
        <f t="shared" si="5"/>
        <v/>
      </c>
      <c r="O114" s="20"/>
      <c r="Q114" s="600">
        <f t="shared" si="6"/>
        <v>0</v>
      </c>
      <c r="R114" s="600">
        <f t="shared" si="7"/>
        <v>0</v>
      </c>
    </row>
    <row r="115" spans="1:18">
      <c r="A115" s="572"/>
      <c r="B115" s="573"/>
      <c r="C115" s="577"/>
      <c r="D115" s="577"/>
      <c r="E115" s="3"/>
      <c r="F115" s="273"/>
      <c r="G115" s="273"/>
      <c r="H115" s="8"/>
      <c r="I115" s="5"/>
      <c r="J115" s="410">
        <f t="shared" si="4"/>
        <v>0</v>
      </c>
      <c r="K115" s="2"/>
      <c r="L115" s="8"/>
      <c r="M115" s="7"/>
      <c r="N115" s="9" t="str">
        <f t="shared" si="5"/>
        <v/>
      </c>
      <c r="O115" s="20"/>
      <c r="Q115" s="600">
        <f t="shared" si="6"/>
        <v>0</v>
      </c>
      <c r="R115" s="600">
        <f t="shared" si="7"/>
        <v>0</v>
      </c>
    </row>
    <row r="116" spans="1:18">
      <c r="A116" s="572"/>
      <c r="B116" s="573"/>
      <c r="C116" s="577"/>
      <c r="D116" s="577"/>
      <c r="E116" s="3"/>
      <c r="F116" s="273"/>
      <c r="G116" s="273"/>
      <c r="H116" s="8"/>
      <c r="I116" s="5"/>
      <c r="J116" s="410">
        <f t="shared" si="4"/>
        <v>0</v>
      </c>
      <c r="K116" s="2"/>
      <c r="L116" s="8"/>
      <c r="M116" s="7"/>
      <c r="N116" s="9" t="str">
        <f t="shared" si="5"/>
        <v/>
      </c>
      <c r="O116" s="20"/>
      <c r="Q116" s="600">
        <f t="shared" si="6"/>
        <v>0</v>
      </c>
      <c r="R116" s="600">
        <f t="shared" si="7"/>
        <v>0</v>
      </c>
    </row>
    <row r="117" spans="1:18">
      <c r="A117" s="572"/>
      <c r="B117" s="573"/>
      <c r="C117" s="577"/>
      <c r="D117" s="577"/>
      <c r="E117" s="3"/>
      <c r="F117" s="273"/>
      <c r="G117" s="273"/>
      <c r="H117" s="8"/>
      <c r="I117" s="5"/>
      <c r="J117" s="410">
        <f t="shared" si="4"/>
        <v>0</v>
      </c>
      <c r="K117" s="2"/>
      <c r="L117" s="8"/>
      <c r="M117" s="7"/>
      <c r="N117" s="9" t="str">
        <f t="shared" si="5"/>
        <v/>
      </c>
      <c r="O117" s="20"/>
      <c r="Q117" s="600">
        <f t="shared" si="6"/>
        <v>0</v>
      </c>
      <c r="R117" s="600">
        <f t="shared" si="7"/>
        <v>0</v>
      </c>
    </row>
    <row r="118" spans="1:18">
      <c r="A118" s="572"/>
      <c r="B118" s="573"/>
      <c r="C118" s="577"/>
      <c r="D118" s="577"/>
      <c r="E118" s="3"/>
      <c r="F118" s="273"/>
      <c r="G118" s="273"/>
      <c r="H118" s="8"/>
      <c r="I118" s="5"/>
      <c r="J118" s="410">
        <f t="shared" si="4"/>
        <v>0</v>
      </c>
      <c r="K118" s="2"/>
      <c r="L118" s="8"/>
      <c r="M118" s="7"/>
      <c r="N118" s="9" t="str">
        <f t="shared" si="5"/>
        <v/>
      </c>
      <c r="O118" s="20"/>
      <c r="Q118" s="600">
        <f t="shared" si="6"/>
        <v>0</v>
      </c>
      <c r="R118" s="600">
        <f t="shared" si="7"/>
        <v>0</v>
      </c>
    </row>
    <row r="119" spans="1:18">
      <c r="A119" s="572"/>
      <c r="B119" s="573"/>
      <c r="C119" s="577"/>
      <c r="D119" s="577"/>
      <c r="E119" s="3"/>
      <c r="F119" s="273"/>
      <c r="G119" s="273"/>
      <c r="H119" s="8"/>
      <c r="I119" s="5"/>
      <c r="J119" s="410">
        <f t="shared" si="4"/>
        <v>0</v>
      </c>
      <c r="K119" s="2"/>
      <c r="L119" s="8"/>
      <c r="M119" s="7"/>
      <c r="N119" s="9" t="str">
        <f t="shared" si="5"/>
        <v/>
      </c>
      <c r="O119" s="20"/>
      <c r="Q119" s="600">
        <f t="shared" si="6"/>
        <v>0</v>
      </c>
      <c r="R119" s="600">
        <f t="shared" si="7"/>
        <v>0</v>
      </c>
    </row>
    <row r="120" spans="1:18">
      <c r="A120" s="572"/>
      <c r="B120" s="573"/>
      <c r="C120" s="577"/>
      <c r="D120" s="577"/>
      <c r="E120" s="3"/>
      <c r="F120" s="273"/>
      <c r="G120" s="273"/>
      <c r="H120" s="8"/>
      <c r="I120" s="5"/>
      <c r="J120" s="410">
        <f t="shared" si="4"/>
        <v>0</v>
      </c>
      <c r="K120" s="2"/>
      <c r="L120" s="8"/>
      <c r="M120" s="7"/>
      <c r="N120" s="9" t="str">
        <f t="shared" si="5"/>
        <v/>
      </c>
      <c r="O120" s="20"/>
      <c r="Q120" s="600">
        <f t="shared" si="6"/>
        <v>0</v>
      </c>
      <c r="R120" s="600">
        <f t="shared" si="7"/>
        <v>0</v>
      </c>
    </row>
    <row r="121" spans="1:18">
      <c r="A121" s="572"/>
      <c r="B121" s="573"/>
      <c r="C121" s="577"/>
      <c r="D121" s="577"/>
      <c r="E121" s="3"/>
      <c r="F121" s="273"/>
      <c r="G121" s="273"/>
      <c r="H121" s="8"/>
      <c r="I121" s="5"/>
      <c r="J121" s="410">
        <f t="shared" si="4"/>
        <v>0</v>
      </c>
      <c r="K121" s="2"/>
      <c r="L121" s="8"/>
      <c r="M121" s="7"/>
      <c r="N121" s="9" t="str">
        <f t="shared" si="5"/>
        <v/>
      </c>
      <c r="O121" s="20"/>
      <c r="Q121" s="600">
        <f t="shared" si="6"/>
        <v>0</v>
      </c>
      <c r="R121" s="600">
        <f t="shared" si="7"/>
        <v>0</v>
      </c>
    </row>
    <row r="122" spans="1:18">
      <c r="A122" s="572"/>
      <c r="B122" s="573"/>
      <c r="C122" s="577"/>
      <c r="D122" s="577"/>
      <c r="E122" s="3"/>
      <c r="F122" s="273"/>
      <c r="G122" s="273"/>
      <c r="H122" s="8"/>
      <c r="I122" s="5"/>
      <c r="J122" s="410">
        <f t="shared" si="4"/>
        <v>0</v>
      </c>
      <c r="K122" s="2"/>
      <c r="L122" s="8"/>
      <c r="M122" s="7"/>
      <c r="N122" s="9" t="str">
        <f t="shared" si="5"/>
        <v/>
      </c>
      <c r="O122" s="20"/>
      <c r="Q122" s="600">
        <f t="shared" si="6"/>
        <v>0</v>
      </c>
      <c r="R122" s="600">
        <f t="shared" si="7"/>
        <v>0</v>
      </c>
    </row>
    <row r="123" spans="1:18">
      <c r="A123" s="572"/>
      <c r="B123" s="573"/>
      <c r="C123" s="577"/>
      <c r="D123" s="577"/>
      <c r="E123" s="3"/>
      <c r="F123" s="273"/>
      <c r="G123" s="273"/>
      <c r="H123" s="8"/>
      <c r="I123" s="5"/>
      <c r="J123" s="410">
        <f t="shared" si="4"/>
        <v>0</v>
      </c>
      <c r="K123" s="2"/>
      <c r="L123" s="8"/>
      <c r="M123" s="7"/>
      <c r="N123" s="9" t="str">
        <f t="shared" si="5"/>
        <v/>
      </c>
      <c r="O123" s="20"/>
      <c r="Q123" s="600">
        <f t="shared" si="6"/>
        <v>0</v>
      </c>
      <c r="R123" s="600">
        <f t="shared" si="7"/>
        <v>0</v>
      </c>
    </row>
    <row r="124" spans="1:18">
      <c r="A124" s="572"/>
      <c r="B124" s="573"/>
      <c r="C124" s="577"/>
      <c r="D124" s="577"/>
      <c r="E124" s="3"/>
      <c r="F124" s="273"/>
      <c r="G124" s="273"/>
      <c r="H124" s="8"/>
      <c r="I124" s="5"/>
      <c r="J124" s="410">
        <f t="shared" si="4"/>
        <v>0</v>
      </c>
      <c r="K124" s="2"/>
      <c r="L124" s="8"/>
      <c r="M124" s="7"/>
      <c r="N124" s="9" t="str">
        <f t="shared" si="5"/>
        <v/>
      </c>
      <c r="O124" s="20"/>
      <c r="Q124" s="600">
        <f t="shared" si="6"/>
        <v>0</v>
      </c>
      <c r="R124" s="600">
        <f t="shared" si="7"/>
        <v>0</v>
      </c>
    </row>
    <row r="125" spans="1:18">
      <c r="A125" s="572"/>
      <c r="B125" s="573"/>
      <c r="C125" s="577"/>
      <c r="D125" s="577"/>
      <c r="E125" s="3"/>
      <c r="F125" s="273"/>
      <c r="G125" s="273"/>
      <c r="H125" s="8"/>
      <c r="I125" s="5"/>
      <c r="J125" s="410">
        <f t="shared" si="4"/>
        <v>0</v>
      </c>
      <c r="K125" s="2"/>
      <c r="L125" s="8"/>
      <c r="M125" s="7"/>
      <c r="N125" s="9" t="str">
        <f t="shared" si="5"/>
        <v/>
      </c>
      <c r="O125" s="20"/>
      <c r="Q125" s="600">
        <f t="shared" si="6"/>
        <v>0</v>
      </c>
      <c r="R125" s="600">
        <f t="shared" si="7"/>
        <v>0</v>
      </c>
    </row>
    <row r="126" spans="1:18">
      <c r="A126" s="572"/>
      <c r="B126" s="573"/>
      <c r="C126" s="577"/>
      <c r="D126" s="577"/>
      <c r="E126" s="3"/>
      <c r="F126" s="273"/>
      <c r="G126" s="273"/>
      <c r="H126" s="8"/>
      <c r="I126" s="5"/>
      <c r="J126" s="410">
        <f t="shared" si="4"/>
        <v>0</v>
      </c>
      <c r="K126" s="2"/>
      <c r="L126" s="8"/>
      <c r="M126" s="7"/>
      <c r="N126" s="9" t="str">
        <f t="shared" si="5"/>
        <v/>
      </c>
      <c r="O126" s="20"/>
      <c r="Q126" s="600">
        <f t="shared" si="6"/>
        <v>0</v>
      </c>
      <c r="R126" s="600">
        <f t="shared" si="7"/>
        <v>0</v>
      </c>
    </row>
    <row r="127" spans="1:18">
      <c r="A127" s="572"/>
      <c r="B127" s="573"/>
      <c r="C127" s="577"/>
      <c r="D127" s="577"/>
      <c r="E127" s="3"/>
      <c r="F127" s="273"/>
      <c r="G127" s="273"/>
      <c r="H127" s="8"/>
      <c r="I127" s="5"/>
      <c r="J127" s="410">
        <f t="shared" si="4"/>
        <v>0</v>
      </c>
      <c r="K127" s="2"/>
      <c r="L127" s="8"/>
      <c r="M127" s="7"/>
      <c r="N127" s="9" t="str">
        <f t="shared" si="5"/>
        <v/>
      </c>
      <c r="O127" s="20"/>
      <c r="Q127" s="600">
        <f t="shared" si="6"/>
        <v>0</v>
      </c>
      <c r="R127" s="600">
        <f t="shared" si="7"/>
        <v>0</v>
      </c>
    </row>
    <row r="128" spans="1:18">
      <c r="A128" s="572"/>
      <c r="B128" s="573"/>
      <c r="C128" s="577"/>
      <c r="D128" s="577"/>
      <c r="E128" s="3"/>
      <c r="F128" s="273"/>
      <c r="G128" s="273"/>
      <c r="H128" s="8"/>
      <c r="I128" s="5"/>
      <c r="J128" s="410">
        <f t="shared" si="4"/>
        <v>0</v>
      </c>
      <c r="K128" s="2"/>
      <c r="L128" s="8"/>
      <c r="M128" s="7"/>
      <c r="N128" s="9" t="str">
        <f t="shared" si="5"/>
        <v/>
      </c>
      <c r="O128" s="20"/>
      <c r="Q128" s="600">
        <f t="shared" si="6"/>
        <v>0</v>
      </c>
      <c r="R128" s="600">
        <f t="shared" si="7"/>
        <v>0</v>
      </c>
    </row>
    <row r="129" spans="1:18">
      <c r="A129" s="572"/>
      <c r="B129" s="573"/>
      <c r="C129" s="577"/>
      <c r="D129" s="577"/>
      <c r="E129" s="3"/>
      <c r="F129" s="273"/>
      <c r="G129" s="273"/>
      <c r="H129" s="8"/>
      <c r="I129" s="5"/>
      <c r="J129" s="410">
        <f t="shared" si="4"/>
        <v>0</v>
      </c>
      <c r="K129" s="2"/>
      <c r="L129" s="8"/>
      <c r="M129" s="7"/>
      <c r="N129" s="9" t="str">
        <f t="shared" si="5"/>
        <v/>
      </c>
      <c r="O129" s="20"/>
      <c r="Q129" s="600">
        <f t="shared" si="6"/>
        <v>0</v>
      </c>
      <c r="R129" s="600">
        <f t="shared" si="7"/>
        <v>0</v>
      </c>
    </row>
    <row r="130" spans="1:18">
      <c r="A130" s="572"/>
      <c r="B130" s="573"/>
      <c r="C130" s="577"/>
      <c r="D130" s="577"/>
      <c r="E130" s="3"/>
      <c r="F130" s="273"/>
      <c r="G130" s="273"/>
      <c r="H130" s="8"/>
      <c r="I130" s="5"/>
      <c r="J130" s="410">
        <f t="shared" si="4"/>
        <v>0</v>
      </c>
      <c r="K130" s="2"/>
      <c r="L130" s="8"/>
      <c r="M130" s="7"/>
      <c r="N130" s="9" t="str">
        <f t="shared" si="5"/>
        <v/>
      </c>
      <c r="O130" s="20"/>
      <c r="Q130" s="600">
        <f t="shared" si="6"/>
        <v>0</v>
      </c>
      <c r="R130" s="600">
        <f t="shared" si="7"/>
        <v>0</v>
      </c>
    </row>
    <row r="131" spans="1:18">
      <c r="A131" s="572"/>
      <c r="B131" s="573"/>
      <c r="C131" s="577"/>
      <c r="D131" s="577"/>
      <c r="E131" s="3"/>
      <c r="F131" s="273"/>
      <c r="G131" s="273"/>
      <c r="H131" s="8"/>
      <c r="I131" s="5"/>
      <c r="J131" s="410">
        <f t="shared" si="4"/>
        <v>0</v>
      </c>
      <c r="K131" s="2"/>
      <c r="L131" s="8"/>
      <c r="M131" s="7"/>
      <c r="N131" s="9" t="str">
        <f t="shared" si="5"/>
        <v/>
      </c>
      <c r="O131" s="20"/>
      <c r="Q131" s="600">
        <f t="shared" si="6"/>
        <v>0</v>
      </c>
      <c r="R131" s="600">
        <f t="shared" si="7"/>
        <v>0</v>
      </c>
    </row>
    <row r="132" spans="1:18">
      <c r="A132" s="572"/>
      <c r="B132" s="573"/>
      <c r="C132" s="577"/>
      <c r="D132" s="577"/>
      <c r="E132" s="3"/>
      <c r="F132" s="273"/>
      <c r="G132" s="273"/>
      <c r="H132" s="8"/>
      <c r="I132" s="5"/>
      <c r="J132" s="410">
        <f t="shared" si="4"/>
        <v>0</v>
      </c>
      <c r="K132" s="2"/>
      <c r="L132" s="8"/>
      <c r="M132" s="7"/>
      <c r="N132" s="9" t="str">
        <f t="shared" si="5"/>
        <v/>
      </c>
      <c r="O132" s="20"/>
      <c r="Q132" s="600">
        <f t="shared" si="6"/>
        <v>0</v>
      </c>
      <c r="R132" s="600">
        <f t="shared" si="7"/>
        <v>0</v>
      </c>
    </row>
    <row r="133" spans="1:18">
      <c r="A133" s="572"/>
      <c r="B133" s="573"/>
      <c r="C133" s="577"/>
      <c r="D133" s="577"/>
      <c r="E133" s="3"/>
      <c r="F133" s="273"/>
      <c r="G133" s="273"/>
      <c r="H133" s="8"/>
      <c r="I133" s="5"/>
      <c r="J133" s="410">
        <f t="shared" si="4"/>
        <v>0</v>
      </c>
      <c r="K133" s="2"/>
      <c r="L133" s="8"/>
      <c r="M133" s="7"/>
      <c r="N133" s="9" t="str">
        <f t="shared" si="5"/>
        <v/>
      </c>
      <c r="O133" s="20"/>
      <c r="Q133" s="600">
        <f t="shared" si="6"/>
        <v>0</v>
      </c>
      <c r="R133" s="600">
        <f t="shared" si="7"/>
        <v>0</v>
      </c>
    </row>
    <row r="134" spans="1:18">
      <c r="A134" s="572"/>
      <c r="B134" s="573"/>
      <c r="C134" s="577"/>
      <c r="D134" s="577"/>
      <c r="E134" s="3"/>
      <c r="F134" s="273"/>
      <c r="G134" s="273"/>
      <c r="H134" s="8"/>
      <c r="I134" s="5"/>
      <c r="J134" s="410">
        <f t="shared" ref="J134:J197" si="8">(+F134*G134+H134*I134)*E134</f>
        <v>0</v>
      </c>
      <c r="K134" s="2"/>
      <c r="L134" s="8"/>
      <c r="M134" s="7"/>
      <c r="N134" s="9" t="str">
        <f t="shared" ref="N134:N197" si="9">IF(K134=0,"",L134*M134*E134)</f>
        <v/>
      </c>
      <c r="O134" s="20"/>
      <c r="Q134" s="600">
        <f t="shared" ref="Q134:Q197" si="10">F134*G134*E134</f>
        <v>0</v>
      </c>
      <c r="R134" s="600">
        <f t="shared" ref="R134:R197" si="11">H134*E134*I134</f>
        <v>0</v>
      </c>
    </row>
    <row r="135" spans="1:18">
      <c r="A135" s="572"/>
      <c r="B135" s="573"/>
      <c r="C135" s="577"/>
      <c r="D135" s="577"/>
      <c r="E135" s="3"/>
      <c r="F135" s="273"/>
      <c r="G135" s="273"/>
      <c r="H135" s="8"/>
      <c r="I135" s="5"/>
      <c r="J135" s="410">
        <f t="shared" si="8"/>
        <v>0</v>
      </c>
      <c r="K135" s="2"/>
      <c r="L135" s="8"/>
      <c r="M135" s="7"/>
      <c r="N135" s="9" t="str">
        <f t="shared" si="9"/>
        <v/>
      </c>
      <c r="O135" s="20"/>
      <c r="Q135" s="600">
        <f t="shared" si="10"/>
        <v>0</v>
      </c>
      <c r="R135" s="600">
        <f t="shared" si="11"/>
        <v>0</v>
      </c>
    </row>
    <row r="136" spans="1:18">
      <c r="A136" s="572"/>
      <c r="B136" s="573"/>
      <c r="C136" s="577"/>
      <c r="D136" s="577"/>
      <c r="E136" s="3"/>
      <c r="F136" s="273"/>
      <c r="G136" s="273"/>
      <c r="H136" s="8"/>
      <c r="I136" s="5"/>
      <c r="J136" s="410">
        <f t="shared" si="8"/>
        <v>0</v>
      </c>
      <c r="K136" s="2"/>
      <c r="L136" s="8"/>
      <c r="M136" s="7"/>
      <c r="N136" s="9" t="str">
        <f t="shared" si="9"/>
        <v/>
      </c>
      <c r="O136" s="20"/>
      <c r="Q136" s="600">
        <f t="shared" si="10"/>
        <v>0</v>
      </c>
      <c r="R136" s="600">
        <f t="shared" si="11"/>
        <v>0</v>
      </c>
    </row>
    <row r="137" spans="1:18">
      <c r="A137" s="572"/>
      <c r="B137" s="573"/>
      <c r="C137" s="577"/>
      <c r="D137" s="577"/>
      <c r="E137" s="3"/>
      <c r="F137" s="273"/>
      <c r="G137" s="273"/>
      <c r="H137" s="8"/>
      <c r="I137" s="5"/>
      <c r="J137" s="410">
        <f t="shared" si="8"/>
        <v>0</v>
      </c>
      <c r="K137" s="2"/>
      <c r="L137" s="8"/>
      <c r="M137" s="7"/>
      <c r="N137" s="9" t="str">
        <f t="shared" si="9"/>
        <v/>
      </c>
      <c r="O137" s="20"/>
      <c r="Q137" s="600">
        <f t="shared" si="10"/>
        <v>0</v>
      </c>
      <c r="R137" s="600">
        <f t="shared" si="11"/>
        <v>0</v>
      </c>
    </row>
    <row r="138" spans="1:18">
      <c r="A138" s="572"/>
      <c r="B138" s="573"/>
      <c r="C138" s="577"/>
      <c r="D138" s="577"/>
      <c r="E138" s="3"/>
      <c r="F138" s="273"/>
      <c r="G138" s="273"/>
      <c r="H138" s="8"/>
      <c r="I138" s="5"/>
      <c r="J138" s="410">
        <f t="shared" si="8"/>
        <v>0</v>
      </c>
      <c r="K138" s="2"/>
      <c r="L138" s="8"/>
      <c r="M138" s="7"/>
      <c r="N138" s="9" t="str">
        <f t="shared" si="9"/>
        <v/>
      </c>
      <c r="O138" s="20"/>
      <c r="Q138" s="600">
        <f t="shared" si="10"/>
        <v>0</v>
      </c>
      <c r="R138" s="600">
        <f t="shared" si="11"/>
        <v>0</v>
      </c>
    </row>
    <row r="139" spans="1:18">
      <c r="A139" s="572"/>
      <c r="B139" s="573"/>
      <c r="C139" s="577"/>
      <c r="D139" s="577"/>
      <c r="E139" s="3"/>
      <c r="F139" s="273"/>
      <c r="G139" s="273"/>
      <c r="H139" s="8"/>
      <c r="I139" s="5"/>
      <c r="J139" s="410">
        <f t="shared" si="8"/>
        <v>0</v>
      </c>
      <c r="K139" s="2"/>
      <c r="L139" s="8"/>
      <c r="M139" s="7"/>
      <c r="N139" s="9" t="str">
        <f t="shared" si="9"/>
        <v/>
      </c>
      <c r="O139" s="20"/>
      <c r="Q139" s="600">
        <f t="shared" si="10"/>
        <v>0</v>
      </c>
      <c r="R139" s="600">
        <f t="shared" si="11"/>
        <v>0</v>
      </c>
    </row>
    <row r="140" spans="1:18">
      <c r="A140" s="572"/>
      <c r="B140" s="573"/>
      <c r="C140" s="577"/>
      <c r="D140" s="577"/>
      <c r="E140" s="3"/>
      <c r="F140" s="273"/>
      <c r="G140" s="273"/>
      <c r="H140" s="8"/>
      <c r="I140" s="5"/>
      <c r="J140" s="410">
        <f t="shared" si="8"/>
        <v>0</v>
      </c>
      <c r="K140" s="2"/>
      <c r="L140" s="8"/>
      <c r="M140" s="7"/>
      <c r="N140" s="9" t="str">
        <f t="shared" si="9"/>
        <v/>
      </c>
      <c r="O140" s="20"/>
      <c r="Q140" s="600">
        <f t="shared" si="10"/>
        <v>0</v>
      </c>
      <c r="R140" s="600">
        <f t="shared" si="11"/>
        <v>0</v>
      </c>
    </row>
    <row r="141" spans="1:18">
      <c r="A141" s="572"/>
      <c r="B141" s="573"/>
      <c r="C141" s="577"/>
      <c r="D141" s="577"/>
      <c r="E141" s="3"/>
      <c r="F141" s="273"/>
      <c r="G141" s="273"/>
      <c r="H141" s="8"/>
      <c r="I141" s="5"/>
      <c r="J141" s="410">
        <f t="shared" si="8"/>
        <v>0</v>
      </c>
      <c r="K141" s="2"/>
      <c r="L141" s="8"/>
      <c r="M141" s="7"/>
      <c r="N141" s="9" t="str">
        <f t="shared" si="9"/>
        <v/>
      </c>
      <c r="O141" s="20"/>
      <c r="Q141" s="600">
        <f t="shared" si="10"/>
        <v>0</v>
      </c>
      <c r="R141" s="600">
        <f t="shared" si="11"/>
        <v>0</v>
      </c>
    </row>
    <row r="142" spans="1:18">
      <c r="A142" s="572"/>
      <c r="B142" s="573"/>
      <c r="C142" s="577"/>
      <c r="D142" s="577"/>
      <c r="E142" s="3"/>
      <c r="F142" s="273"/>
      <c r="G142" s="273"/>
      <c r="H142" s="8"/>
      <c r="I142" s="5"/>
      <c r="J142" s="410">
        <f t="shared" si="8"/>
        <v>0</v>
      </c>
      <c r="K142" s="2"/>
      <c r="L142" s="8"/>
      <c r="M142" s="7"/>
      <c r="N142" s="9" t="str">
        <f t="shared" si="9"/>
        <v/>
      </c>
      <c r="O142" s="20"/>
      <c r="Q142" s="600">
        <f t="shared" si="10"/>
        <v>0</v>
      </c>
      <c r="R142" s="600">
        <f t="shared" si="11"/>
        <v>0</v>
      </c>
    </row>
    <row r="143" spans="1:18">
      <c r="A143" s="572"/>
      <c r="B143" s="573"/>
      <c r="C143" s="577"/>
      <c r="D143" s="577"/>
      <c r="E143" s="3"/>
      <c r="F143" s="273"/>
      <c r="G143" s="273"/>
      <c r="H143" s="8"/>
      <c r="I143" s="5"/>
      <c r="J143" s="410">
        <f t="shared" si="8"/>
        <v>0</v>
      </c>
      <c r="K143" s="2"/>
      <c r="L143" s="8"/>
      <c r="M143" s="7"/>
      <c r="N143" s="9" t="str">
        <f t="shared" si="9"/>
        <v/>
      </c>
      <c r="O143" s="20"/>
      <c r="Q143" s="600">
        <f t="shared" si="10"/>
        <v>0</v>
      </c>
      <c r="R143" s="600">
        <f t="shared" si="11"/>
        <v>0</v>
      </c>
    </row>
    <row r="144" spans="1:18">
      <c r="A144" s="572"/>
      <c r="B144" s="573"/>
      <c r="C144" s="577"/>
      <c r="D144" s="577"/>
      <c r="E144" s="3"/>
      <c r="F144" s="273"/>
      <c r="G144" s="273"/>
      <c r="H144" s="8"/>
      <c r="I144" s="5"/>
      <c r="J144" s="410">
        <f t="shared" si="8"/>
        <v>0</v>
      </c>
      <c r="K144" s="2"/>
      <c r="L144" s="8"/>
      <c r="M144" s="7"/>
      <c r="N144" s="9" t="str">
        <f t="shared" si="9"/>
        <v/>
      </c>
      <c r="O144" s="20"/>
      <c r="Q144" s="600">
        <f t="shared" si="10"/>
        <v>0</v>
      </c>
      <c r="R144" s="600">
        <f t="shared" si="11"/>
        <v>0</v>
      </c>
    </row>
    <row r="145" spans="1:18">
      <c r="A145" s="572"/>
      <c r="B145" s="573"/>
      <c r="C145" s="577"/>
      <c r="D145" s="577"/>
      <c r="E145" s="3"/>
      <c r="F145" s="273"/>
      <c r="G145" s="273"/>
      <c r="H145" s="8"/>
      <c r="I145" s="5"/>
      <c r="J145" s="410">
        <f t="shared" si="8"/>
        <v>0</v>
      </c>
      <c r="K145" s="2"/>
      <c r="L145" s="8"/>
      <c r="M145" s="7"/>
      <c r="N145" s="9" t="str">
        <f t="shared" si="9"/>
        <v/>
      </c>
      <c r="O145" s="20"/>
      <c r="Q145" s="600">
        <f t="shared" si="10"/>
        <v>0</v>
      </c>
      <c r="R145" s="600">
        <f t="shared" si="11"/>
        <v>0</v>
      </c>
    </row>
    <row r="146" spans="1:18">
      <c r="A146" s="572"/>
      <c r="B146" s="573"/>
      <c r="C146" s="577"/>
      <c r="D146" s="577"/>
      <c r="E146" s="3"/>
      <c r="F146" s="273"/>
      <c r="G146" s="273"/>
      <c r="H146" s="8"/>
      <c r="I146" s="5"/>
      <c r="J146" s="410">
        <f t="shared" si="8"/>
        <v>0</v>
      </c>
      <c r="K146" s="2"/>
      <c r="L146" s="8"/>
      <c r="M146" s="7"/>
      <c r="N146" s="9" t="str">
        <f t="shared" si="9"/>
        <v/>
      </c>
      <c r="O146" s="20"/>
      <c r="Q146" s="600">
        <f t="shared" si="10"/>
        <v>0</v>
      </c>
      <c r="R146" s="600">
        <f t="shared" si="11"/>
        <v>0</v>
      </c>
    </row>
    <row r="147" spans="1:18">
      <c r="A147" s="572"/>
      <c r="B147" s="573"/>
      <c r="C147" s="577"/>
      <c r="D147" s="577"/>
      <c r="E147" s="3"/>
      <c r="F147" s="273"/>
      <c r="G147" s="273"/>
      <c r="H147" s="8"/>
      <c r="I147" s="5"/>
      <c r="J147" s="410">
        <f t="shared" si="8"/>
        <v>0</v>
      </c>
      <c r="K147" s="2"/>
      <c r="L147" s="8"/>
      <c r="M147" s="7"/>
      <c r="N147" s="9" t="str">
        <f t="shared" si="9"/>
        <v/>
      </c>
      <c r="O147" s="20"/>
      <c r="Q147" s="600">
        <f t="shared" si="10"/>
        <v>0</v>
      </c>
      <c r="R147" s="600">
        <f t="shared" si="11"/>
        <v>0</v>
      </c>
    </row>
    <row r="148" spans="1:18">
      <c r="A148" s="572"/>
      <c r="B148" s="573"/>
      <c r="C148" s="577"/>
      <c r="D148" s="577"/>
      <c r="E148" s="3"/>
      <c r="F148" s="273"/>
      <c r="G148" s="273"/>
      <c r="H148" s="8"/>
      <c r="I148" s="5"/>
      <c r="J148" s="410">
        <f t="shared" si="8"/>
        <v>0</v>
      </c>
      <c r="K148" s="2"/>
      <c r="L148" s="8"/>
      <c r="M148" s="7"/>
      <c r="N148" s="9" t="str">
        <f t="shared" si="9"/>
        <v/>
      </c>
      <c r="O148" s="20"/>
      <c r="Q148" s="600">
        <f t="shared" si="10"/>
        <v>0</v>
      </c>
      <c r="R148" s="600">
        <f t="shared" si="11"/>
        <v>0</v>
      </c>
    </row>
    <row r="149" spans="1:18">
      <c r="A149" s="572"/>
      <c r="B149" s="573"/>
      <c r="C149" s="577"/>
      <c r="D149" s="577"/>
      <c r="E149" s="3"/>
      <c r="F149" s="273"/>
      <c r="G149" s="273"/>
      <c r="H149" s="8"/>
      <c r="I149" s="5"/>
      <c r="J149" s="410">
        <f t="shared" si="8"/>
        <v>0</v>
      </c>
      <c r="K149" s="2"/>
      <c r="L149" s="8"/>
      <c r="M149" s="7"/>
      <c r="N149" s="9" t="str">
        <f t="shared" si="9"/>
        <v/>
      </c>
      <c r="O149" s="20"/>
      <c r="Q149" s="600">
        <f t="shared" si="10"/>
        <v>0</v>
      </c>
      <c r="R149" s="600">
        <f t="shared" si="11"/>
        <v>0</v>
      </c>
    </row>
    <row r="150" spans="1:18">
      <c r="A150" s="572"/>
      <c r="B150" s="573"/>
      <c r="C150" s="577"/>
      <c r="D150" s="577"/>
      <c r="E150" s="3"/>
      <c r="F150" s="273"/>
      <c r="G150" s="273"/>
      <c r="H150" s="8"/>
      <c r="I150" s="5"/>
      <c r="J150" s="410">
        <f t="shared" si="8"/>
        <v>0</v>
      </c>
      <c r="K150" s="2"/>
      <c r="L150" s="8"/>
      <c r="M150" s="7"/>
      <c r="N150" s="9" t="str">
        <f t="shared" si="9"/>
        <v/>
      </c>
      <c r="O150" s="20"/>
      <c r="Q150" s="600">
        <f t="shared" si="10"/>
        <v>0</v>
      </c>
      <c r="R150" s="600">
        <f t="shared" si="11"/>
        <v>0</v>
      </c>
    </row>
    <row r="151" spans="1:18">
      <c r="A151" s="572"/>
      <c r="B151" s="573"/>
      <c r="C151" s="577"/>
      <c r="D151" s="577"/>
      <c r="E151" s="3"/>
      <c r="F151" s="273"/>
      <c r="G151" s="273"/>
      <c r="H151" s="8"/>
      <c r="I151" s="5"/>
      <c r="J151" s="410">
        <f t="shared" si="8"/>
        <v>0</v>
      </c>
      <c r="K151" s="2"/>
      <c r="L151" s="8"/>
      <c r="M151" s="7"/>
      <c r="N151" s="9" t="str">
        <f t="shared" si="9"/>
        <v/>
      </c>
      <c r="O151" s="20"/>
      <c r="Q151" s="600">
        <f t="shared" si="10"/>
        <v>0</v>
      </c>
      <c r="R151" s="600">
        <f t="shared" si="11"/>
        <v>0</v>
      </c>
    </row>
    <row r="152" spans="1:18">
      <c r="A152" s="572"/>
      <c r="B152" s="573"/>
      <c r="C152" s="577"/>
      <c r="D152" s="577"/>
      <c r="E152" s="3"/>
      <c r="F152" s="273"/>
      <c r="G152" s="273"/>
      <c r="H152" s="8"/>
      <c r="I152" s="5"/>
      <c r="J152" s="410">
        <f t="shared" si="8"/>
        <v>0</v>
      </c>
      <c r="K152" s="2"/>
      <c r="L152" s="8"/>
      <c r="M152" s="7"/>
      <c r="N152" s="9" t="str">
        <f t="shared" si="9"/>
        <v/>
      </c>
      <c r="O152" s="20"/>
      <c r="Q152" s="600">
        <f t="shared" si="10"/>
        <v>0</v>
      </c>
      <c r="R152" s="600">
        <f t="shared" si="11"/>
        <v>0</v>
      </c>
    </row>
    <row r="153" spans="1:18">
      <c r="A153" s="572"/>
      <c r="B153" s="573"/>
      <c r="C153" s="577"/>
      <c r="D153" s="577"/>
      <c r="E153" s="3"/>
      <c r="F153" s="273"/>
      <c r="G153" s="273"/>
      <c r="H153" s="8"/>
      <c r="I153" s="5"/>
      <c r="J153" s="410">
        <f t="shared" si="8"/>
        <v>0</v>
      </c>
      <c r="K153" s="2"/>
      <c r="L153" s="8"/>
      <c r="M153" s="7"/>
      <c r="N153" s="9" t="str">
        <f t="shared" si="9"/>
        <v/>
      </c>
      <c r="O153" s="20"/>
      <c r="Q153" s="600">
        <f t="shared" si="10"/>
        <v>0</v>
      </c>
      <c r="R153" s="600">
        <f t="shared" si="11"/>
        <v>0</v>
      </c>
    </row>
    <row r="154" spans="1:18">
      <c r="A154" s="572"/>
      <c r="B154" s="573"/>
      <c r="C154" s="577"/>
      <c r="D154" s="577"/>
      <c r="E154" s="3"/>
      <c r="F154" s="273"/>
      <c r="G154" s="273"/>
      <c r="H154" s="8"/>
      <c r="I154" s="5"/>
      <c r="J154" s="410">
        <f t="shared" si="8"/>
        <v>0</v>
      </c>
      <c r="K154" s="2"/>
      <c r="L154" s="8"/>
      <c r="M154" s="7"/>
      <c r="N154" s="9" t="str">
        <f t="shared" si="9"/>
        <v/>
      </c>
      <c r="O154" s="20"/>
      <c r="Q154" s="600">
        <f t="shared" si="10"/>
        <v>0</v>
      </c>
      <c r="R154" s="600">
        <f t="shared" si="11"/>
        <v>0</v>
      </c>
    </row>
    <row r="155" spans="1:18">
      <c r="A155" s="572"/>
      <c r="B155" s="573"/>
      <c r="C155" s="577"/>
      <c r="D155" s="577"/>
      <c r="E155" s="3"/>
      <c r="F155" s="273"/>
      <c r="G155" s="273"/>
      <c r="H155" s="8"/>
      <c r="I155" s="5"/>
      <c r="J155" s="410">
        <f t="shared" si="8"/>
        <v>0</v>
      </c>
      <c r="K155" s="2"/>
      <c r="L155" s="8"/>
      <c r="M155" s="7"/>
      <c r="N155" s="9" t="str">
        <f t="shared" si="9"/>
        <v/>
      </c>
      <c r="O155" s="20"/>
      <c r="Q155" s="600">
        <f t="shared" si="10"/>
        <v>0</v>
      </c>
      <c r="R155" s="600">
        <f t="shared" si="11"/>
        <v>0</v>
      </c>
    </row>
    <row r="156" spans="1:18">
      <c r="A156" s="572"/>
      <c r="B156" s="573"/>
      <c r="C156" s="577"/>
      <c r="D156" s="577"/>
      <c r="E156" s="3"/>
      <c r="F156" s="273"/>
      <c r="G156" s="273"/>
      <c r="H156" s="8"/>
      <c r="I156" s="5"/>
      <c r="J156" s="410">
        <f t="shared" si="8"/>
        <v>0</v>
      </c>
      <c r="K156" s="2"/>
      <c r="L156" s="8"/>
      <c r="M156" s="7"/>
      <c r="N156" s="9" t="str">
        <f t="shared" si="9"/>
        <v/>
      </c>
      <c r="O156" s="20"/>
      <c r="Q156" s="600">
        <f t="shared" si="10"/>
        <v>0</v>
      </c>
      <c r="R156" s="600">
        <f t="shared" si="11"/>
        <v>0</v>
      </c>
    </row>
    <row r="157" spans="1:18">
      <c r="A157" s="572"/>
      <c r="B157" s="573"/>
      <c r="C157" s="577"/>
      <c r="D157" s="577"/>
      <c r="E157" s="3"/>
      <c r="F157" s="273"/>
      <c r="G157" s="273"/>
      <c r="H157" s="8"/>
      <c r="I157" s="5"/>
      <c r="J157" s="410">
        <f t="shared" si="8"/>
        <v>0</v>
      </c>
      <c r="K157" s="2"/>
      <c r="L157" s="8"/>
      <c r="M157" s="7"/>
      <c r="N157" s="9" t="str">
        <f t="shared" si="9"/>
        <v/>
      </c>
      <c r="O157" s="20"/>
      <c r="Q157" s="600">
        <f t="shared" si="10"/>
        <v>0</v>
      </c>
      <c r="R157" s="600">
        <f t="shared" si="11"/>
        <v>0</v>
      </c>
    </row>
    <row r="158" spans="1:18">
      <c r="A158" s="572"/>
      <c r="B158" s="573"/>
      <c r="C158" s="577"/>
      <c r="D158" s="577"/>
      <c r="E158" s="3"/>
      <c r="F158" s="273"/>
      <c r="G158" s="273"/>
      <c r="H158" s="8"/>
      <c r="I158" s="5"/>
      <c r="J158" s="410">
        <f t="shared" si="8"/>
        <v>0</v>
      </c>
      <c r="K158" s="2"/>
      <c r="L158" s="8"/>
      <c r="M158" s="7"/>
      <c r="N158" s="9" t="str">
        <f t="shared" si="9"/>
        <v/>
      </c>
      <c r="O158" s="20"/>
      <c r="Q158" s="600">
        <f t="shared" si="10"/>
        <v>0</v>
      </c>
      <c r="R158" s="600">
        <f t="shared" si="11"/>
        <v>0</v>
      </c>
    </row>
    <row r="159" spans="1:18">
      <c r="A159" s="572"/>
      <c r="B159" s="573"/>
      <c r="C159" s="577"/>
      <c r="D159" s="577"/>
      <c r="E159" s="3"/>
      <c r="F159" s="273"/>
      <c r="G159" s="273"/>
      <c r="H159" s="8"/>
      <c r="I159" s="5"/>
      <c r="J159" s="410">
        <f t="shared" si="8"/>
        <v>0</v>
      </c>
      <c r="K159" s="2"/>
      <c r="L159" s="8"/>
      <c r="M159" s="7"/>
      <c r="N159" s="9" t="str">
        <f t="shared" si="9"/>
        <v/>
      </c>
      <c r="O159" s="20"/>
      <c r="Q159" s="600">
        <f t="shared" si="10"/>
        <v>0</v>
      </c>
      <c r="R159" s="600">
        <f t="shared" si="11"/>
        <v>0</v>
      </c>
    </row>
    <row r="160" spans="1:18">
      <c r="A160" s="572"/>
      <c r="B160" s="573"/>
      <c r="C160" s="577"/>
      <c r="D160" s="577"/>
      <c r="E160" s="3"/>
      <c r="F160" s="273"/>
      <c r="G160" s="273"/>
      <c r="H160" s="8"/>
      <c r="I160" s="5"/>
      <c r="J160" s="410">
        <f t="shared" si="8"/>
        <v>0</v>
      </c>
      <c r="K160" s="2"/>
      <c r="L160" s="8"/>
      <c r="M160" s="7"/>
      <c r="N160" s="9" t="str">
        <f t="shared" si="9"/>
        <v/>
      </c>
      <c r="O160" s="20"/>
      <c r="Q160" s="600">
        <f t="shared" si="10"/>
        <v>0</v>
      </c>
      <c r="R160" s="600">
        <f t="shared" si="11"/>
        <v>0</v>
      </c>
    </row>
    <row r="161" spans="1:18">
      <c r="A161" s="572"/>
      <c r="B161" s="573"/>
      <c r="C161" s="577"/>
      <c r="D161" s="577"/>
      <c r="E161" s="3"/>
      <c r="F161" s="273"/>
      <c r="G161" s="273"/>
      <c r="H161" s="8"/>
      <c r="I161" s="5"/>
      <c r="J161" s="410">
        <f t="shared" si="8"/>
        <v>0</v>
      </c>
      <c r="K161" s="2"/>
      <c r="L161" s="8"/>
      <c r="M161" s="7"/>
      <c r="N161" s="9" t="str">
        <f t="shared" si="9"/>
        <v/>
      </c>
      <c r="O161" s="20"/>
      <c r="Q161" s="600">
        <f t="shared" si="10"/>
        <v>0</v>
      </c>
      <c r="R161" s="600">
        <f t="shared" si="11"/>
        <v>0</v>
      </c>
    </row>
    <row r="162" spans="1:18">
      <c r="A162" s="572"/>
      <c r="B162" s="573"/>
      <c r="C162" s="577"/>
      <c r="D162" s="577"/>
      <c r="E162" s="3"/>
      <c r="F162" s="273"/>
      <c r="G162" s="273"/>
      <c r="H162" s="8"/>
      <c r="I162" s="5"/>
      <c r="J162" s="410">
        <f t="shared" si="8"/>
        <v>0</v>
      </c>
      <c r="K162" s="2"/>
      <c r="L162" s="8"/>
      <c r="M162" s="7"/>
      <c r="N162" s="9" t="str">
        <f t="shared" si="9"/>
        <v/>
      </c>
      <c r="O162" s="20"/>
      <c r="Q162" s="600">
        <f t="shared" si="10"/>
        <v>0</v>
      </c>
      <c r="R162" s="600">
        <f t="shared" si="11"/>
        <v>0</v>
      </c>
    </row>
    <row r="163" spans="1:18">
      <c r="A163" s="572"/>
      <c r="B163" s="573"/>
      <c r="C163" s="577"/>
      <c r="D163" s="577"/>
      <c r="E163" s="3"/>
      <c r="F163" s="273"/>
      <c r="G163" s="273"/>
      <c r="H163" s="8"/>
      <c r="I163" s="5"/>
      <c r="J163" s="410">
        <f t="shared" si="8"/>
        <v>0</v>
      </c>
      <c r="K163" s="2"/>
      <c r="L163" s="8"/>
      <c r="M163" s="7"/>
      <c r="N163" s="9" t="str">
        <f t="shared" si="9"/>
        <v/>
      </c>
      <c r="O163" s="20"/>
      <c r="Q163" s="600">
        <f t="shared" si="10"/>
        <v>0</v>
      </c>
      <c r="R163" s="600">
        <f t="shared" si="11"/>
        <v>0</v>
      </c>
    </row>
    <row r="164" spans="1:18">
      <c r="A164" s="572"/>
      <c r="B164" s="573"/>
      <c r="C164" s="577"/>
      <c r="D164" s="577"/>
      <c r="E164" s="3"/>
      <c r="F164" s="273"/>
      <c r="G164" s="273"/>
      <c r="H164" s="8"/>
      <c r="I164" s="5"/>
      <c r="J164" s="410">
        <f t="shared" si="8"/>
        <v>0</v>
      </c>
      <c r="K164" s="2"/>
      <c r="L164" s="8"/>
      <c r="M164" s="7"/>
      <c r="N164" s="9" t="str">
        <f t="shared" si="9"/>
        <v/>
      </c>
      <c r="O164" s="20"/>
      <c r="Q164" s="600">
        <f t="shared" si="10"/>
        <v>0</v>
      </c>
      <c r="R164" s="600">
        <f t="shared" si="11"/>
        <v>0</v>
      </c>
    </row>
    <row r="165" spans="1:18">
      <c r="A165" s="572"/>
      <c r="B165" s="573"/>
      <c r="C165" s="577"/>
      <c r="D165" s="577"/>
      <c r="E165" s="3"/>
      <c r="F165" s="273"/>
      <c r="G165" s="273"/>
      <c r="H165" s="8"/>
      <c r="I165" s="5"/>
      <c r="J165" s="410">
        <f t="shared" si="8"/>
        <v>0</v>
      </c>
      <c r="K165" s="2"/>
      <c r="L165" s="8"/>
      <c r="M165" s="7"/>
      <c r="N165" s="9" t="str">
        <f t="shared" si="9"/>
        <v/>
      </c>
      <c r="O165" s="20"/>
      <c r="Q165" s="600">
        <f t="shared" si="10"/>
        <v>0</v>
      </c>
      <c r="R165" s="600">
        <f t="shared" si="11"/>
        <v>0</v>
      </c>
    </row>
    <row r="166" spans="1:18">
      <c r="A166" s="572"/>
      <c r="B166" s="573"/>
      <c r="C166" s="577"/>
      <c r="D166" s="577"/>
      <c r="E166" s="3"/>
      <c r="F166" s="273"/>
      <c r="G166" s="273"/>
      <c r="H166" s="8"/>
      <c r="I166" s="5"/>
      <c r="J166" s="410">
        <f t="shared" si="8"/>
        <v>0</v>
      </c>
      <c r="K166" s="2"/>
      <c r="L166" s="8"/>
      <c r="M166" s="7"/>
      <c r="N166" s="9" t="str">
        <f t="shared" si="9"/>
        <v/>
      </c>
      <c r="O166" s="20"/>
      <c r="Q166" s="600">
        <f t="shared" si="10"/>
        <v>0</v>
      </c>
      <c r="R166" s="600">
        <f t="shared" si="11"/>
        <v>0</v>
      </c>
    </row>
    <row r="167" spans="1:18">
      <c r="A167" s="572"/>
      <c r="B167" s="573"/>
      <c r="C167" s="577"/>
      <c r="D167" s="577"/>
      <c r="E167" s="3"/>
      <c r="F167" s="273"/>
      <c r="G167" s="273"/>
      <c r="H167" s="8"/>
      <c r="I167" s="5"/>
      <c r="J167" s="410">
        <f t="shared" si="8"/>
        <v>0</v>
      </c>
      <c r="K167" s="2"/>
      <c r="L167" s="8"/>
      <c r="M167" s="7"/>
      <c r="N167" s="9" t="str">
        <f t="shared" si="9"/>
        <v/>
      </c>
      <c r="O167" s="20"/>
      <c r="Q167" s="600">
        <f t="shared" si="10"/>
        <v>0</v>
      </c>
      <c r="R167" s="600">
        <f t="shared" si="11"/>
        <v>0</v>
      </c>
    </row>
    <row r="168" spans="1:18">
      <c r="A168" s="572"/>
      <c r="B168" s="573"/>
      <c r="C168" s="577"/>
      <c r="D168" s="577"/>
      <c r="E168" s="3"/>
      <c r="F168" s="273"/>
      <c r="G168" s="273"/>
      <c r="H168" s="8"/>
      <c r="I168" s="5"/>
      <c r="J168" s="410">
        <f t="shared" si="8"/>
        <v>0</v>
      </c>
      <c r="K168" s="2"/>
      <c r="L168" s="8"/>
      <c r="M168" s="7"/>
      <c r="N168" s="9" t="str">
        <f t="shared" si="9"/>
        <v/>
      </c>
      <c r="O168" s="20"/>
      <c r="Q168" s="600">
        <f t="shared" si="10"/>
        <v>0</v>
      </c>
      <c r="R168" s="600">
        <f t="shared" si="11"/>
        <v>0</v>
      </c>
    </row>
    <row r="169" spans="1:18">
      <c r="A169" s="572"/>
      <c r="B169" s="573"/>
      <c r="C169" s="577"/>
      <c r="D169" s="577"/>
      <c r="E169" s="3"/>
      <c r="F169" s="273"/>
      <c r="G169" s="273"/>
      <c r="H169" s="8"/>
      <c r="I169" s="5"/>
      <c r="J169" s="410">
        <f t="shared" si="8"/>
        <v>0</v>
      </c>
      <c r="K169" s="2"/>
      <c r="L169" s="8"/>
      <c r="M169" s="7"/>
      <c r="N169" s="9" t="str">
        <f t="shared" si="9"/>
        <v/>
      </c>
      <c r="O169" s="20"/>
      <c r="Q169" s="600">
        <f t="shared" si="10"/>
        <v>0</v>
      </c>
      <c r="R169" s="600">
        <f t="shared" si="11"/>
        <v>0</v>
      </c>
    </row>
    <row r="170" spans="1:18">
      <c r="A170" s="572"/>
      <c r="B170" s="573"/>
      <c r="C170" s="577"/>
      <c r="D170" s="577"/>
      <c r="E170" s="3"/>
      <c r="F170" s="273"/>
      <c r="G170" s="273"/>
      <c r="H170" s="8"/>
      <c r="I170" s="5"/>
      <c r="J170" s="410">
        <f t="shared" si="8"/>
        <v>0</v>
      </c>
      <c r="K170" s="2"/>
      <c r="L170" s="8"/>
      <c r="M170" s="7"/>
      <c r="N170" s="9" t="str">
        <f t="shared" si="9"/>
        <v/>
      </c>
      <c r="O170" s="20"/>
      <c r="Q170" s="600">
        <f t="shared" si="10"/>
        <v>0</v>
      </c>
      <c r="R170" s="600">
        <f t="shared" si="11"/>
        <v>0</v>
      </c>
    </row>
    <row r="171" spans="1:18">
      <c r="A171" s="572"/>
      <c r="B171" s="573"/>
      <c r="C171" s="577"/>
      <c r="D171" s="577"/>
      <c r="E171" s="3"/>
      <c r="F171" s="273"/>
      <c r="G171" s="273"/>
      <c r="H171" s="8"/>
      <c r="I171" s="5"/>
      <c r="J171" s="410">
        <f t="shared" si="8"/>
        <v>0</v>
      </c>
      <c r="K171" s="2"/>
      <c r="L171" s="8"/>
      <c r="M171" s="7"/>
      <c r="N171" s="9" t="str">
        <f t="shared" si="9"/>
        <v/>
      </c>
      <c r="O171" s="20"/>
      <c r="Q171" s="600">
        <f t="shared" si="10"/>
        <v>0</v>
      </c>
      <c r="R171" s="600">
        <f t="shared" si="11"/>
        <v>0</v>
      </c>
    </row>
    <row r="172" spans="1:18">
      <c r="A172" s="572"/>
      <c r="B172" s="573"/>
      <c r="C172" s="577"/>
      <c r="D172" s="577"/>
      <c r="E172" s="3"/>
      <c r="F172" s="273"/>
      <c r="G172" s="273"/>
      <c r="H172" s="8"/>
      <c r="I172" s="5"/>
      <c r="J172" s="410">
        <f t="shared" si="8"/>
        <v>0</v>
      </c>
      <c r="K172" s="2"/>
      <c r="L172" s="8"/>
      <c r="M172" s="7"/>
      <c r="N172" s="9" t="str">
        <f t="shared" si="9"/>
        <v/>
      </c>
      <c r="O172" s="20"/>
      <c r="Q172" s="600">
        <f t="shared" si="10"/>
        <v>0</v>
      </c>
      <c r="R172" s="600">
        <f t="shared" si="11"/>
        <v>0</v>
      </c>
    </row>
    <row r="173" spans="1:18">
      <c r="A173" s="572"/>
      <c r="B173" s="573"/>
      <c r="C173" s="577"/>
      <c r="D173" s="577"/>
      <c r="E173" s="3"/>
      <c r="F173" s="273"/>
      <c r="G173" s="273"/>
      <c r="H173" s="8"/>
      <c r="I173" s="5"/>
      <c r="J173" s="410">
        <f t="shared" si="8"/>
        <v>0</v>
      </c>
      <c r="K173" s="2"/>
      <c r="L173" s="8"/>
      <c r="M173" s="7"/>
      <c r="N173" s="9" t="str">
        <f t="shared" si="9"/>
        <v/>
      </c>
      <c r="O173" s="20"/>
      <c r="Q173" s="600">
        <f t="shared" si="10"/>
        <v>0</v>
      </c>
      <c r="R173" s="600">
        <f t="shared" si="11"/>
        <v>0</v>
      </c>
    </row>
    <row r="174" spans="1:18">
      <c r="A174" s="572"/>
      <c r="B174" s="573"/>
      <c r="C174" s="577"/>
      <c r="D174" s="577"/>
      <c r="E174" s="3"/>
      <c r="F174" s="273"/>
      <c r="G174" s="273"/>
      <c r="H174" s="8"/>
      <c r="I174" s="5"/>
      <c r="J174" s="410">
        <f t="shared" si="8"/>
        <v>0</v>
      </c>
      <c r="K174" s="2"/>
      <c r="L174" s="8"/>
      <c r="M174" s="7"/>
      <c r="N174" s="9" t="str">
        <f t="shared" si="9"/>
        <v/>
      </c>
      <c r="O174" s="20"/>
      <c r="Q174" s="600">
        <f t="shared" si="10"/>
        <v>0</v>
      </c>
      <c r="R174" s="600">
        <f t="shared" si="11"/>
        <v>0</v>
      </c>
    </row>
    <row r="175" spans="1:18">
      <c r="A175" s="572"/>
      <c r="B175" s="573"/>
      <c r="C175" s="577"/>
      <c r="D175" s="577"/>
      <c r="E175" s="3"/>
      <c r="F175" s="273"/>
      <c r="G175" s="273"/>
      <c r="H175" s="8"/>
      <c r="I175" s="5"/>
      <c r="J175" s="410">
        <f t="shared" si="8"/>
        <v>0</v>
      </c>
      <c r="K175" s="2"/>
      <c r="L175" s="8"/>
      <c r="M175" s="7"/>
      <c r="N175" s="9" t="str">
        <f t="shared" si="9"/>
        <v/>
      </c>
      <c r="O175" s="20"/>
      <c r="Q175" s="600">
        <f t="shared" si="10"/>
        <v>0</v>
      </c>
      <c r="R175" s="600">
        <f t="shared" si="11"/>
        <v>0</v>
      </c>
    </row>
    <row r="176" spans="1:18">
      <c r="A176" s="572"/>
      <c r="B176" s="573"/>
      <c r="C176" s="577"/>
      <c r="D176" s="577"/>
      <c r="E176" s="3"/>
      <c r="F176" s="273"/>
      <c r="G176" s="273"/>
      <c r="H176" s="8"/>
      <c r="I176" s="5"/>
      <c r="J176" s="410">
        <f t="shared" si="8"/>
        <v>0</v>
      </c>
      <c r="K176" s="2"/>
      <c r="L176" s="8"/>
      <c r="M176" s="7"/>
      <c r="N176" s="9" t="str">
        <f t="shared" si="9"/>
        <v/>
      </c>
      <c r="O176" s="20"/>
      <c r="Q176" s="600">
        <f t="shared" si="10"/>
        <v>0</v>
      </c>
      <c r="R176" s="600">
        <f t="shared" si="11"/>
        <v>0</v>
      </c>
    </row>
    <row r="177" spans="1:18">
      <c r="A177" s="572"/>
      <c r="B177" s="573"/>
      <c r="C177" s="577"/>
      <c r="D177" s="577"/>
      <c r="E177" s="3"/>
      <c r="F177" s="273"/>
      <c r="G177" s="273"/>
      <c r="H177" s="8"/>
      <c r="I177" s="5"/>
      <c r="J177" s="410">
        <f t="shared" si="8"/>
        <v>0</v>
      </c>
      <c r="K177" s="2"/>
      <c r="L177" s="8"/>
      <c r="M177" s="7"/>
      <c r="N177" s="9" t="str">
        <f t="shared" si="9"/>
        <v/>
      </c>
      <c r="O177" s="20"/>
      <c r="Q177" s="600">
        <f t="shared" si="10"/>
        <v>0</v>
      </c>
      <c r="R177" s="600">
        <f t="shared" si="11"/>
        <v>0</v>
      </c>
    </row>
    <row r="178" spans="1:18">
      <c r="A178" s="572"/>
      <c r="B178" s="573"/>
      <c r="C178" s="577"/>
      <c r="D178" s="577"/>
      <c r="E178" s="3"/>
      <c r="F178" s="273"/>
      <c r="G178" s="273"/>
      <c r="H178" s="8"/>
      <c r="I178" s="5"/>
      <c r="J178" s="410">
        <f t="shared" si="8"/>
        <v>0</v>
      </c>
      <c r="K178" s="2"/>
      <c r="L178" s="8"/>
      <c r="M178" s="7"/>
      <c r="N178" s="9" t="str">
        <f t="shared" si="9"/>
        <v/>
      </c>
      <c r="O178" s="20"/>
      <c r="Q178" s="600">
        <f t="shared" si="10"/>
        <v>0</v>
      </c>
      <c r="R178" s="600">
        <f t="shared" si="11"/>
        <v>0</v>
      </c>
    </row>
    <row r="179" spans="1:18">
      <c r="A179" s="572"/>
      <c r="B179" s="573"/>
      <c r="C179" s="577"/>
      <c r="D179" s="577"/>
      <c r="E179" s="3"/>
      <c r="F179" s="273"/>
      <c r="G179" s="273"/>
      <c r="H179" s="8"/>
      <c r="I179" s="5"/>
      <c r="J179" s="410">
        <f t="shared" si="8"/>
        <v>0</v>
      </c>
      <c r="K179" s="2"/>
      <c r="L179" s="8"/>
      <c r="M179" s="7"/>
      <c r="N179" s="9" t="str">
        <f t="shared" si="9"/>
        <v/>
      </c>
      <c r="O179" s="20"/>
      <c r="Q179" s="600">
        <f t="shared" si="10"/>
        <v>0</v>
      </c>
      <c r="R179" s="600">
        <f t="shared" si="11"/>
        <v>0</v>
      </c>
    </row>
    <row r="180" spans="1:18">
      <c r="A180" s="572"/>
      <c r="B180" s="573"/>
      <c r="C180" s="577"/>
      <c r="D180" s="577"/>
      <c r="E180" s="3"/>
      <c r="F180" s="273"/>
      <c r="G180" s="273"/>
      <c r="H180" s="8"/>
      <c r="I180" s="5"/>
      <c r="J180" s="410">
        <f t="shared" si="8"/>
        <v>0</v>
      </c>
      <c r="K180" s="2"/>
      <c r="L180" s="8"/>
      <c r="M180" s="7"/>
      <c r="N180" s="9" t="str">
        <f t="shared" si="9"/>
        <v/>
      </c>
      <c r="O180" s="20"/>
      <c r="Q180" s="600">
        <f t="shared" si="10"/>
        <v>0</v>
      </c>
      <c r="R180" s="600">
        <f t="shared" si="11"/>
        <v>0</v>
      </c>
    </row>
    <row r="181" spans="1:18">
      <c r="A181" s="572"/>
      <c r="B181" s="573"/>
      <c r="C181" s="577"/>
      <c r="D181" s="577"/>
      <c r="E181" s="3"/>
      <c r="F181" s="273"/>
      <c r="G181" s="273"/>
      <c r="H181" s="8"/>
      <c r="I181" s="5"/>
      <c r="J181" s="410">
        <f t="shared" si="8"/>
        <v>0</v>
      </c>
      <c r="K181" s="2"/>
      <c r="L181" s="8"/>
      <c r="M181" s="7"/>
      <c r="N181" s="9" t="str">
        <f t="shared" si="9"/>
        <v/>
      </c>
      <c r="O181" s="20"/>
      <c r="Q181" s="600">
        <f t="shared" si="10"/>
        <v>0</v>
      </c>
      <c r="R181" s="600">
        <f t="shared" si="11"/>
        <v>0</v>
      </c>
    </row>
    <row r="182" spans="1:18">
      <c r="A182" s="572"/>
      <c r="B182" s="573"/>
      <c r="C182" s="577"/>
      <c r="D182" s="577"/>
      <c r="E182" s="3"/>
      <c r="F182" s="273"/>
      <c r="G182" s="273"/>
      <c r="H182" s="8"/>
      <c r="I182" s="5"/>
      <c r="J182" s="410">
        <f t="shared" si="8"/>
        <v>0</v>
      </c>
      <c r="K182" s="2"/>
      <c r="L182" s="8"/>
      <c r="M182" s="7"/>
      <c r="N182" s="9" t="str">
        <f t="shared" si="9"/>
        <v/>
      </c>
      <c r="O182" s="20"/>
      <c r="Q182" s="600">
        <f t="shared" si="10"/>
        <v>0</v>
      </c>
      <c r="R182" s="600">
        <f t="shared" si="11"/>
        <v>0</v>
      </c>
    </row>
    <row r="183" spans="1:18">
      <c r="A183" s="572"/>
      <c r="B183" s="573"/>
      <c r="C183" s="577"/>
      <c r="D183" s="577"/>
      <c r="E183" s="3"/>
      <c r="F183" s="273"/>
      <c r="G183" s="273"/>
      <c r="H183" s="8"/>
      <c r="I183" s="5"/>
      <c r="J183" s="410">
        <f t="shared" si="8"/>
        <v>0</v>
      </c>
      <c r="K183" s="2"/>
      <c r="L183" s="8"/>
      <c r="M183" s="7"/>
      <c r="N183" s="9" t="str">
        <f t="shared" si="9"/>
        <v/>
      </c>
      <c r="O183" s="20"/>
      <c r="Q183" s="600">
        <f t="shared" si="10"/>
        <v>0</v>
      </c>
      <c r="R183" s="600">
        <f t="shared" si="11"/>
        <v>0</v>
      </c>
    </row>
    <row r="184" spans="1:18">
      <c r="A184" s="572"/>
      <c r="B184" s="573"/>
      <c r="C184" s="577"/>
      <c r="D184" s="577"/>
      <c r="E184" s="3"/>
      <c r="F184" s="273"/>
      <c r="G184" s="273"/>
      <c r="H184" s="8"/>
      <c r="I184" s="5"/>
      <c r="J184" s="410">
        <f t="shared" si="8"/>
        <v>0</v>
      </c>
      <c r="K184" s="2"/>
      <c r="L184" s="8"/>
      <c r="M184" s="7"/>
      <c r="N184" s="9" t="str">
        <f t="shared" si="9"/>
        <v/>
      </c>
      <c r="O184" s="20"/>
      <c r="Q184" s="600">
        <f t="shared" si="10"/>
        <v>0</v>
      </c>
      <c r="R184" s="600">
        <f t="shared" si="11"/>
        <v>0</v>
      </c>
    </row>
    <row r="185" spans="1:18">
      <c r="A185" s="572"/>
      <c r="B185" s="573"/>
      <c r="C185" s="576"/>
      <c r="D185" s="577"/>
      <c r="E185" s="3"/>
      <c r="F185" s="273"/>
      <c r="G185" s="273"/>
      <c r="H185" s="8"/>
      <c r="I185" s="5"/>
      <c r="J185" s="410">
        <f t="shared" si="8"/>
        <v>0</v>
      </c>
      <c r="K185" s="2"/>
      <c r="L185" s="8"/>
      <c r="M185" s="7"/>
      <c r="N185" s="9" t="str">
        <f t="shared" si="9"/>
        <v/>
      </c>
      <c r="O185" s="20"/>
      <c r="Q185" s="600">
        <f t="shared" si="10"/>
        <v>0</v>
      </c>
      <c r="R185" s="600">
        <f t="shared" si="11"/>
        <v>0</v>
      </c>
    </row>
    <row r="186" spans="1:18">
      <c r="A186" s="572"/>
      <c r="B186" s="573"/>
      <c r="C186" s="577"/>
      <c r="D186" s="577"/>
      <c r="E186" s="3"/>
      <c r="F186" s="273"/>
      <c r="G186" s="273"/>
      <c r="H186" s="8"/>
      <c r="I186" s="5"/>
      <c r="J186" s="410">
        <f t="shared" si="8"/>
        <v>0</v>
      </c>
      <c r="K186" s="2"/>
      <c r="L186" s="8"/>
      <c r="M186" s="7"/>
      <c r="N186" s="9" t="str">
        <f t="shared" si="9"/>
        <v/>
      </c>
      <c r="O186" s="20"/>
      <c r="Q186" s="600">
        <f t="shared" si="10"/>
        <v>0</v>
      </c>
      <c r="R186" s="600">
        <f t="shared" si="11"/>
        <v>0</v>
      </c>
    </row>
    <row r="187" spans="1:18">
      <c r="A187" s="572"/>
      <c r="B187" s="573"/>
      <c r="C187" s="577"/>
      <c r="D187" s="577"/>
      <c r="E187" s="3"/>
      <c r="F187" s="273"/>
      <c r="G187" s="273"/>
      <c r="H187" s="8"/>
      <c r="I187" s="5"/>
      <c r="J187" s="410">
        <f t="shared" si="8"/>
        <v>0</v>
      </c>
      <c r="K187" s="2"/>
      <c r="L187" s="8"/>
      <c r="M187" s="7"/>
      <c r="N187" s="9" t="str">
        <f t="shared" si="9"/>
        <v/>
      </c>
      <c r="O187" s="20"/>
      <c r="Q187" s="600">
        <f t="shared" si="10"/>
        <v>0</v>
      </c>
      <c r="R187" s="600">
        <f t="shared" si="11"/>
        <v>0</v>
      </c>
    </row>
    <row r="188" spans="1:18">
      <c r="A188" s="572"/>
      <c r="B188" s="573"/>
      <c r="C188" s="577"/>
      <c r="D188" s="577"/>
      <c r="E188" s="3"/>
      <c r="F188" s="273"/>
      <c r="G188" s="273"/>
      <c r="H188" s="8"/>
      <c r="I188" s="5"/>
      <c r="J188" s="410">
        <f t="shared" si="8"/>
        <v>0</v>
      </c>
      <c r="K188" s="2"/>
      <c r="L188" s="8"/>
      <c r="M188" s="7"/>
      <c r="N188" s="9" t="str">
        <f t="shared" si="9"/>
        <v/>
      </c>
      <c r="O188" s="20"/>
      <c r="Q188" s="600">
        <f t="shared" si="10"/>
        <v>0</v>
      </c>
      <c r="R188" s="600">
        <f t="shared" si="11"/>
        <v>0</v>
      </c>
    </row>
    <row r="189" spans="1:18">
      <c r="A189" s="572"/>
      <c r="B189" s="573"/>
      <c r="C189" s="577"/>
      <c r="D189" s="577"/>
      <c r="E189" s="3"/>
      <c r="F189" s="273"/>
      <c r="G189" s="273"/>
      <c r="H189" s="8"/>
      <c r="I189" s="5"/>
      <c r="J189" s="410">
        <f t="shared" si="8"/>
        <v>0</v>
      </c>
      <c r="K189" s="2"/>
      <c r="L189" s="8"/>
      <c r="M189" s="7"/>
      <c r="N189" s="9" t="str">
        <f t="shared" si="9"/>
        <v/>
      </c>
      <c r="O189" s="20"/>
      <c r="Q189" s="600">
        <f t="shared" si="10"/>
        <v>0</v>
      </c>
      <c r="R189" s="600">
        <f t="shared" si="11"/>
        <v>0</v>
      </c>
    </row>
    <row r="190" spans="1:18">
      <c r="A190" s="572"/>
      <c r="B190" s="573"/>
      <c r="C190" s="577"/>
      <c r="D190" s="577"/>
      <c r="E190" s="3"/>
      <c r="F190" s="273"/>
      <c r="G190" s="273"/>
      <c r="H190" s="8"/>
      <c r="I190" s="5"/>
      <c r="J190" s="410">
        <f t="shared" si="8"/>
        <v>0</v>
      </c>
      <c r="K190" s="2"/>
      <c r="L190" s="8"/>
      <c r="M190" s="7"/>
      <c r="N190" s="9" t="str">
        <f t="shared" si="9"/>
        <v/>
      </c>
      <c r="O190" s="20"/>
      <c r="Q190" s="600">
        <f t="shared" si="10"/>
        <v>0</v>
      </c>
      <c r="R190" s="600">
        <f t="shared" si="11"/>
        <v>0</v>
      </c>
    </row>
    <row r="191" spans="1:18">
      <c r="A191" s="572"/>
      <c r="B191" s="573"/>
      <c r="C191" s="577"/>
      <c r="D191" s="577"/>
      <c r="E191" s="3"/>
      <c r="F191" s="273"/>
      <c r="G191" s="273"/>
      <c r="H191" s="8"/>
      <c r="I191" s="5"/>
      <c r="J191" s="410">
        <f t="shared" si="8"/>
        <v>0</v>
      </c>
      <c r="K191" s="2"/>
      <c r="L191" s="8"/>
      <c r="M191" s="7"/>
      <c r="N191" s="9" t="str">
        <f t="shared" si="9"/>
        <v/>
      </c>
      <c r="O191" s="20"/>
      <c r="Q191" s="600">
        <f t="shared" si="10"/>
        <v>0</v>
      </c>
      <c r="R191" s="600">
        <f t="shared" si="11"/>
        <v>0</v>
      </c>
    </row>
    <row r="192" spans="1:18">
      <c r="A192" s="572"/>
      <c r="B192" s="573"/>
      <c r="C192" s="577"/>
      <c r="D192" s="577"/>
      <c r="E192" s="3"/>
      <c r="F192" s="273"/>
      <c r="G192" s="273"/>
      <c r="H192" s="8"/>
      <c r="I192" s="5"/>
      <c r="J192" s="410">
        <f t="shared" si="8"/>
        <v>0</v>
      </c>
      <c r="K192" s="2"/>
      <c r="L192" s="8"/>
      <c r="M192" s="7"/>
      <c r="N192" s="9" t="str">
        <f t="shared" si="9"/>
        <v/>
      </c>
      <c r="O192" s="20"/>
      <c r="Q192" s="600">
        <f t="shared" si="10"/>
        <v>0</v>
      </c>
      <c r="R192" s="600">
        <f t="shared" si="11"/>
        <v>0</v>
      </c>
    </row>
    <row r="193" spans="1:18">
      <c r="A193" s="572"/>
      <c r="B193" s="573"/>
      <c r="C193" s="577"/>
      <c r="D193" s="577"/>
      <c r="E193" s="3"/>
      <c r="F193" s="273"/>
      <c r="G193" s="273"/>
      <c r="H193" s="8"/>
      <c r="I193" s="5"/>
      <c r="J193" s="410">
        <f t="shared" si="8"/>
        <v>0</v>
      </c>
      <c r="K193" s="2"/>
      <c r="L193" s="8"/>
      <c r="M193" s="7"/>
      <c r="N193" s="9" t="str">
        <f t="shared" si="9"/>
        <v/>
      </c>
      <c r="O193" s="20"/>
      <c r="Q193" s="600">
        <f t="shared" si="10"/>
        <v>0</v>
      </c>
      <c r="R193" s="600">
        <f t="shared" si="11"/>
        <v>0</v>
      </c>
    </row>
    <row r="194" spans="1:18">
      <c r="A194" s="572"/>
      <c r="B194" s="573"/>
      <c r="C194" s="577"/>
      <c r="D194" s="577"/>
      <c r="E194" s="3"/>
      <c r="F194" s="273"/>
      <c r="G194" s="273"/>
      <c r="H194" s="8"/>
      <c r="I194" s="5"/>
      <c r="J194" s="410">
        <f t="shared" si="8"/>
        <v>0</v>
      </c>
      <c r="K194" s="2"/>
      <c r="L194" s="8"/>
      <c r="M194" s="7"/>
      <c r="N194" s="9" t="str">
        <f t="shared" si="9"/>
        <v/>
      </c>
      <c r="O194" s="20"/>
      <c r="Q194" s="600">
        <f t="shared" si="10"/>
        <v>0</v>
      </c>
      <c r="R194" s="600">
        <f t="shared" si="11"/>
        <v>0</v>
      </c>
    </row>
    <row r="195" spans="1:18">
      <c r="A195" s="572"/>
      <c r="B195" s="573"/>
      <c r="C195" s="577"/>
      <c r="D195" s="577"/>
      <c r="E195" s="3"/>
      <c r="F195" s="273"/>
      <c r="G195" s="273"/>
      <c r="H195" s="8"/>
      <c r="I195" s="5"/>
      <c r="J195" s="410">
        <f t="shared" si="8"/>
        <v>0</v>
      </c>
      <c r="K195" s="2"/>
      <c r="L195" s="8"/>
      <c r="M195" s="7"/>
      <c r="N195" s="9" t="str">
        <f t="shared" si="9"/>
        <v/>
      </c>
      <c r="O195" s="20"/>
      <c r="Q195" s="600">
        <f t="shared" si="10"/>
        <v>0</v>
      </c>
      <c r="R195" s="600">
        <f t="shared" si="11"/>
        <v>0</v>
      </c>
    </row>
    <row r="196" spans="1:18">
      <c r="A196" s="572"/>
      <c r="B196" s="573"/>
      <c r="C196" s="577"/>
      <c r="D196" s="577"/>
      <c r="E196" s="3"/>
      <c r="F196" s="273"/>
      <c r="G196" s="273"/>
      <c r="H196" s="8"/>
      <c r="I196" s="5"/>
      <c r="J196" s="410">
        <f t="shared" si="8"/>
        <v>0</v>
      </c>
      <c r="K196" s="2"/>
      <c r="L196" s="8"/>
      <c r="M196" s="7"/>
      <c r="N196" s="9" t="str">
        <f t="shared" si="9"/>
        <v/>
      </c>
      <c r="O196" s="20"/>
      <c r="Q196" s="600">
        <f t="shared" si="10"/>
        <v>0</v>
      </c>
      <c r="R196" s="600">
        <f t="shared" si="11"/>
        <v>0</v>
      </c>
    </row>
    <row r="197" spans="1:18">
      <c r="A197" s="572"/>
      <c r="B197" s="573"/>
      <c r="C197" s="577"/>
      <c r="D197" s="577"/>
      <c r="E197" s="3"/>
      <c r="F197" s="273"/>
      <c r="G197" s="273"/>
      <c r="H197" s="8"/>
      <c r="I197" s="5"/>
      <c r="J197" s="410">
        <f t="shared" si="8"/>
        <v>0</v>
      </c>
      <c r="K197" s="2"/>
      <c r="L197" s="8"/>
      <c r="M197" s="7"/>
      <c r="N197" s="9" t="str">
        <f t="shared" si="9"/>
        <v/>
      </c>
      <c r="O197" s="20"/>
      <c r="Q197" s="600">
        <f t="shared" si="10"/>
        <v>0</v>
      </c>
      <c r="R197" s="600">
        <f t="shared" si="11"/>
        <v>0</v>
      </c>
    </row>
    <row r="198" spans="1:18">
      <c r="A198" s="572"/>
      <c r="B198" s="573"/>
      <c r="C198" s="577"/>
      <c r="D198" s="577"/>
      <c r="E198" s="3"/>
      <c r="F198" s="273"/>
      <c r="G198" s="273"/>
      <c r="H198" s="8"/>
      <c r="I198" s="5"/>
      <c r="J198" s="410">
        <f t="shared" ref="J198:J261" si="12">(+F198*G198+H198*I198)*E198</f>
        <v>0</v>
      </c>
      <c r="K198" s="2"/>
      <c r="L198" s="8"/>
      <c r="M198" s="7"/>
      <c r="N198" s="9" t="str">
        <f t="shared" ref="N198:N261" si="13">IF(K198=0,"",L198*M198*E198)</f>
        <v/>
      </c>
      <c r="O198" s="20"/>
      <c r="Q198" s="600">
        <f t="shared" ref="Q198:Q261" si="14">F198*G198*E198</f>
        <v>0</v>
      </c>
      <c r="R198" s="600">
        <f t="shared" ref="R198:R261" si="15">H198*E198*I198</f>
        <v>0</v>
      </c>
    </row>
    <row r="199" spans="1:18">
      <c r="A199" s="572"/>
      <c r="B199" s="573"/>
      <c r="C199" s="577"/>
      <c r="D199" s="577"/>
      <c r="E199" s="3"/>
      <c r="F199" s="273"/>
      <c r="G199" s="273"/>
      <c r="H199" s="8"/>
      <c r="I199" s="5"/>
      <c r="J199" s="410">
        <f t="shared" si="12"/>
        <v>0</v>
      </c>
      <c r="K199" s="2"/>
      <c r="L199" s="8"/>
      <c r="M199" s="7"/>
      <c r="N199" s="9" t="str">
        <f t="shared" si="13"/>
        <v/>
      </c>
      <c r="O199" s="20"/>
      <c r="Q199" s="600">
        <f t="shared" si="14"/>
        <v>0</v>
      </c>
      <c r="R199" s="600">
        <f t="shared" si="15"/>
        <v>0</v>
      </c>
    </row>
    <row r="200" spans="1:18">
      <c r="A200" s="572"/>
      <c r="B200" s="573"/>
      <c r="C200" s="577"/>
      <c r="D200" s="577"/>
      <c r="E200" s="3"/>
      <c r="F200" s="273"/>
      <c r="G200" s="273"/>
      <c r="H200" s="8"/>
      <c r="I200" s="5"/>
      <c r="J200" s="410">
        <f t="shared" si="12"/>
        <v>0</v>
      </c>
      <c r="K200" s="2"/>
      <c r="L200" s="8"/>
      <c r="M200" s="7"/>
      <c r="N200" s="9" t="str">
        <f t="shared" si="13"/>
        <v/>
      </c>
      <c r="O200" s="20"/>
      <c r="Q200" s="600">
        <f t="shared" si="14"/>
        <v>0</v>
      </c>
      <c r="R200" s="600">
        <f t="shared" si="15"/>
        <v>0</v>
      </c>
    </row>
    <row r="201" spans="1:18">
      <c r="A201" s="572"/>
      <c r="B201" s="573"/>
      <c r="C201" s="577"/>
      <c r="D201" s="577"/>
      <c r="E201" s="3"/>
      <c r="F201" s="273"/>
      <c r="G201" s="273"/>
      <c r="H201" s="8"/>
      <c r="I201" s="5"/>
      <c r="J201" s="410">
        <f t="shared" si="12"/>
        <v>0</v>
      </c>
      <c r="K201" s="2"/>
      <c r="L201" s="8"/>
      <c r="M201" s="7"/>
      <c r="N201" s="9" t="str">
        <f t="shared" si="13"/>
        <v/>
      </c>
      <c r="O201" s="20"/>
      <c r="Q201" s="600">
        <f t="shared" si="14"/>
        <v>0</v>
      </c>
      <c r="R201" s="600">
        <f t="shared" si="15"/>
        <v>0</v>
      </c>
    </row>
    <row r="202" spans="1:18">
      <c r="A202" s="572"/>
      <c r="B202" s="573"/>
      <c r="C202" s="577"/>
      <c r="D202" s="577"/>
      <c r="E202" s="3"/>
      <c r="F202" s="273"/>
      <c r="G202" s="273"/>
      <c r="H202" s="8"/>
      <c r="I202" s="5"/>
      <c r="J202" s="410">
        <f t="shared" si="12"/>
        <v>0</v>
      </c>
      <c r="K202" s="2"/>
      <c r="L202" s="8"/>
      <c r="M202" s="7"/>
      <c r="N202" s="9" t="str">
        <f t="shared" si="13"/>
        <v/>
      </c>
      <c r="O202" s="20"/>
      <c r="Q202" s="600">
        <f t="shared" si="14"/>
        <v>0</v>
      </c>
      <c r="R202" s="600">
        <f t="shared" si="15"/>
        <v>0</v>
      </c>
    </row>
    <row r="203" spans="1:18">
      <c r="A203" s="572"/>
      <c r="B203" s="573"/>
      <c r="C203" s="577"/>
      <c r="D203" s="577"/>
      <c r="E203" s="3"/>
      <c r="F203" s="273"/>
      <c r="G203" s="273"/>
      <c r="H203" s="8"/>
      <c r="I203" s="5"/>
      <c r="J203" s="410">
        <f t="shared" si="12"/>
        <v>0</v>
      </c>
      <c r="K203" s="2"/>
      <c r="L203" s="8"/>
      <c r="M203" s="7"/>
      <c r="N203" s="9" t="str">
        <f t="shared" si="13"/>
        <v/>
      </c>
      <c r="O203" s="20"/>
      <c r="Q203" s="600">
        <f t="shared" si="14"/>
        <v>0</v>
      </c>
      <c r="R203" s="600">
        <f t="shared" si="15"/>
        <v>0</v>
      </c>
    </row>
    <row r="204" spans="1:18">
      <c r="A204" s="572"/>
      <c r="B204" s="573"/>
      <c r="C204" s="577"/>
      <c r="D204" s="577"/>
      <c r="E204" s="3"/>
      <c r="F204" s="273"/>
      <c r="G204" s="273"/>
      <c r="H204" s="8"/>
      <c r="I204" s="5"/>
      <c r="J204" s="410">
        <f t="shared" si="12"/>
        <v>0</v>
      </c>
      <c r="K204" s="2"/>
      <c r="L204" s="8"/>
      <c r="M204" s="7"/>
      <c r="N204" s="9" t="str">
        <f t="shared" si="13"/>
        <v/>
      </c>
      <c r="O204" s="20"/>
      <c r="Q204" s="600">
        <f t="shared" si="14"/>
        <v>0</v>
      </c>
      <c r="R204" s="600">
        <f t="shared" si="15"/>
        <v>0</v>
      </c>
    </row>
    <row r="205" spans="1:18">
      <c r="A205" s="572"/>
      <c r="B205" s="573"/>
      <c r="C205" s="577"/>
      <c r="D205" s="577"/>
      <c r="E205" s="3"/>
      <c r="F205" s="273"/>
      <c r="G205" s="273"/>
      <c r="H205" s="8"/>
      <c r="I205" s="5"/>
      <c r="J205" s="410">
        <f t="shared" si="12"/>
        <v>0</v>
      </c>
      <c r="K205" s="2"/>
      <c r="L205" s="8"/>
      <c r="M205" s="7"/>
      <c r="N205" s="9" t="str">
        <f t="shared" si="13"/>
        <v/>
      </c>
      <c r="O205" s="20"/>
      <c r="Q205" s="600">
        <f t="shared" si="14"/>
        <v>0</v>
      </c>
      <c r="R205" s="600">
        <f t="shared" si="15"/>
        <v>0</v>
      </c>
    </row>
    <row r="206" spans="1:18">
      <c r="A206" s="572"/>
      <c r="B206" s="573"/>
      <c r="C206" s="577"/>
      <c r="D206" s="577"/>
      <c r="E206" s="3"/>
      <c r="F206" s="273"/>
      <c r="G206" s="273"/>
      <c r="H206" s="8"/>
      <c r="I206" s="5"/>
      <c r="J206" s="410">
        <f t="shared" si="12"/>
        <v>0</v>
      </c>
      <c r="K206" s="2"/>
      <c r="L206" s="8"/>
      <c r="M206" s="7"/>
      <c r="N206" s="9" t="str">
        <f t="shared" si="13"/>
        <v/>
      </c>
      <c r="O206" s="20"/>
      <c r="Q206" s="600">
        <f t="shared" si="14"/>
        <v>0</v>
      </c>
      <c r="R206" s="600">
        <f t="shared" si="15"/>
        <v>0</v>
      </c>
    </row>
    <row r="207" spans="1:18">
      <c r="A207" s="572"/>
      <c r="B207" s="573"/>
      <c r="C207" s="577"/>
      <c r="D207" s="577"/>
      <c r="E207" s="3"/>
      <c r="F207" s="273"/>
      <c r="G207" s="273"/>
      <c r="H207" s="8"/>
      <c r="I207" s="5"/>
      <c r="J207" s="410">
        <f t="shared" si="12"/>
        <v>0</v>
      </c>
      <c r="K207" s="2"/>
      <c r="L207" s="8"/>
      <c r="M207" s="7"/>
      <c r="N207" s="9" t="str">
        <f t="shared" si="13"/>
        <v/>
      </c>
      <c r="O207" s="20"/>
      <c r="Q207" s="600">
        <f t="shared" si="14"/>
        <v>0</v>
      </c>
      <c r="R207" s="600">
        <f t="shared" si="15"/>
        <v>0</v>
      </c>
    </row>
    <row r="208" spans="1:18">
      <c r="A208" s="572"/>
      <c r="B208" s="573"/>
      <c r="C208" s="577"/>
      <c r="D208" s="577"/>
      <c r="E208" s="3"/>
      <c r="F208" s="273"/>
      <c r="G208" s="273"/>
      <c r="H208" s="8"/>
      <c r="I208" s="5"/>
      <c r="J208" s="410">
        <f t="shared" si="12"/>
        <v>0</v>
      </c>
      <c r="K208" s="2"/>
      <c r="L208" s="8"/>
      <c r="M208" s="7"/>
      <c r="N208" s="9" t="str">
        <f t="shared" si="13"/>
        <v/>
      </c>
      <c r="O208" s="20"/>
      <c r="Q208" s="600">
        <f t="shared" si="14"/>
        <v>0</v>
      </c>
      <c r="R208" s="600">
        <f t="shared" si="15"/>
        <v>0</v>
      </c>
    </row>
    <row r="209" spans="1:18">
      <c r="A209" s="572"/>
      <c r="B209" s="573"/>
      <c r="C209" s="577"/>
      <c r="D209" s="577"/>
      <c r="E209" s="3"/>
      <c r="F209" s="273"/>
      <c r="G209" s="273"/>
      <c r="H209" s="8"/>
      <c r="I209" s="5"/>
      <c r="J209" s="410">
        <f t="shared" si="12"/>
        <v>0</v>
      </c>
      <c r="K209" s="2"/>
      <c r="L209" s="8"/>
      <c r="M209" s="7"/>
      <c r="N209" s="9" t="str">
        <f t="shared" si="13"/>
        <v/>
      </c>
      <c r="O209" s="20"/>
      <c r="Q209" s="600">
        <f t="shared" si="14"/>
        <v>0</v>
      </c>
      <c r="R209" s="600">
        <f t="shared" si="15"/>
        <v>0</v>
      </c>
    </row>
    <row r="210" spans="1:18">
      <c r="A210" s="572"/>
      <c r="B210" s="573"/>
      <c r="C210" s="577"/>
      <c r="D210" s="577"/>
      <c r="E210" s="3"/>
      <c r="F210" s="273"/>
      <c r="G210" s="273"/>
      <c r="H210" s="8"/>
      <c r="I210" s="5"/>
      <c r="J210" s="410">
        <f t="shared" si="12"/>
        <v>0</v>
      </c>
      <c r="K210" s="2"/>
      <c r="L210" s="8"/>
      <c r="M210" s="7"/>
      <c r="N210" s="9" t="str">
        <f t="shared" si="13"/>
        <v/>
      </c>
      <c r="O210" s="20"/>
      <c r="Q210" s="600">
        <f t="shared" si="14"/>
        <v>0</v>
      </c>
      <c r="R210" s="600">
        <f t="shared" si="15"/>
        <v>0</v>
      </c>
    </row>
    <row r="211" spans="1:18">
      <c r="A211" s="572"/>
      <c r="B211" s="573"/>
      <c r="C211" s="577"/>
      <c r="D211" s="577"/>
      <c r="E211" s="3"/>
      <c r="F211" s="273"/>
      <c r="G211" s="273"/>
      <c r="H211" s="8"/>
      <c r="I211" s="5"/>
      <c r="J211" s="410">
        <f t="shared" si="12"/>
        <v>0</v>
      </c>
      <c r="K211" s="2"/>
      <c r="L211" s="8"/>
      <c r="M211" s="7"/>
      <c r="N211" s="9" t="str">
        <f t="shared" si="13"/>
        <v/>
      </c>
      <c r="O211" s="20"/>
      <c r="Q211" s="600">
        <f t="shared" si="14"/>
        <v>0</v>
      </c>
      <c r="R211" s="600">
        <f t="shared" si="15"/>
        <v>0</v>
      </c>
    </row>
    <row r="212" spans="1:18">
      <c r="A212" s="572"/>
      <c r="B212" s="573"/>
      <c r="C212" s="577"/>
      <c r="D212" s="577"/>
      <c r="E212" s="3"/>
      <c r="F212" s="273"/>
      <c r="G212" s="273"/>
      <c r="H212" s="8"/>
      <c r="I212" s="5"/>
      <c r="J212" s="410">
        <f t="shared" si="12"/>
        <v>0</v>
      </c>
      <c r="K212" s="2"/>
      <c r="L212" s="8"/>
      <c r="M212" s="7"/>
      <c r="N212" s="9" t="str">
        <f t="shared" si="13"/>
        <v/>
      </c>
      <c r="O212" s="20"/>
      <c r="Q212" s="600">
        <f t="shared" si="14"/>
        <v>0</v>
      </c>
      <c r="R212" s="600">
        <f t="shared" si="15"/>
        <v>0</v>
      </c>
    </row>
    <row r="213" spans="1:18">
      <c r="A213" s="572"/>
      <c r="B213" s="573"/>
      <c r="C213" s="577"/>
      <c r="D213" s="577"/>
      <c r="E213" s="3"/>
      <c r="F213" s="273"/>
      <c r="G213" s="273"/>
      <c r="H213" s="8"/>
      <c r="I213" s="5"/>
      <c r="J213" s="410">
        <f t="shared" si="12"/>
        <v>0</v>
      </c>
      <c r="K213" s="2"/>
      <c r="L213" s="8"/>
      <c r="M213" s="7"/>
      <c r="N213" s="9" t="str">
        <f t="shared" si="13"/>
        <v/>
      </c>
      <c r="O213" s="20"/>
      <c r="Q213" s="600">
        <f t="shared" si="14"/>
        <v>0</v>
      </c>
      <c r="R213" s="600">
        <f t="shared" si="15"/>
        <v>0</v>
      </c>
    </row>
    <row r="214" spans="1:18">
      <c r="A214" s="572"/>
      <c r="B214" s="573"/>
      <c r="C214" s="577"/>
      <c r="D214" s="577"/>
      <c r="E214" s="3"/>
      <c r="F214" s="273"/>
      <c r="G214" s="273"/>
      <c r="H214" s="8"/>
      <c r="I214" s="5"/>
      <c r="J214" s="410">
        <f t="shared" si="12"/>
        <v>0</v>
      </c>
      <c r="K214" s="2"/>
      <c r="L214" s="8"/>
      <c r="M214" s="7"/>
      <c r="N214" s="9" t="str">
        <f t="shared" si="13"/>
        <v/>
      </c>
      <c r="O214" s="20"/>
      <c r="Q214" s="600">
        <f t="shared" si="14"/>
        <v>0</v>
      </c>
      <c r="R214" s="600">
        <f t="shared" si="15"/>
        <v>0</v>
      </c>
    </row>
    <row r="215" spans="1:18">
      <c r="A215" s="572"/>
      <c r="B215" s="573"/>
      <c r="C215" s="577"/>
      <c r="D215" s="577"/>
      <c r="E215" s="3"/>
      <c r="F215" s="273"/>
      <c r="G215" s="273"/>
      <c r="H215" s="8"/>
      <c r="I215" s="5"/>
      <c r="J215" s="410">
        <f t="shared" si="12"/>
        <v>0</v>
      </c>
      <c r="K215" s="2"/>
      <c r="L215" s="8"/>
      <c r="M215" s="7"/>
      <c r="N215" s="9" t="str">
        <f t="shared" si="13"/>
        <v/>
      </c>
      <c r="O215" s="20"/>
      <c r="Q215" s="600">
        <f t="shared" si="14"/>
        <v>0</v>
      </c>
      <c r="R215" s="600">
        <f t="shared" si="15"/>
        <v>0</v>
      </c>
    </row>
    <row r="216" spans="1:18">
      <c r="A216" s="572"/>
      <c r="B216" s="573"/>
      <c r="C216" s="577"/>
      <c r="D216" s="577"/>
      <c r="E216" s="3"/>
      <c r="F216" s="273"/>
      <c r="G216" s="273"/>
      <c r="H216" s="8"/>
      <c r="I216" s="5"/>
      <c r="J216" s="410">
        <f t="shared" si="12"/>
        <v>0</v>
      </c>
      <c r="K216" s="2"/>
      <c r="L216" s="8"/>
      <c r="M216" s="7"/>
      <c r="N216" s="9" t="str">
        <f t="shared" si="13"/>
        <v/>
      </c>
      <c r="O216" s="20"/>
      <c r="Q216" s="600">
        <f t="shared" si="14"/>
        <v>0</v>
      </c>
      <c r="R216" s="600">
        <f t="shared" si="15"/>
        <v>0</v>
      </c>
    </row>
    <row r="217" spans="1:18">
      <c r="A217" s="572"/>
      <c r="B217" s="573"/>
      <c r="C217" s="577"/>
      <c r="D217" s="577"/>
      <c r="E217" s="3"/>
      <c r="F217" s="273"/>
      <c r="G217" s="273"/>
      <c r="H217" s="8"/>
      <c r="I217" s="5"/>
      <c r="J217" s="410">
        <f t="shared" si="12"/>
        <v>0</v>
      </c>
      <c r="K217" s="2"/>
      <c r="L217" s="8"/>
      <c r="M217" s="7"/>
      <c r="N217" s="9" t="str">
        <f t="shared" si="13"/>
        <v/>
      </c>
      <c r="O217" s="20"/>
      <c r="Q217" s="600">
        <f t="shared" si="14"/>
        <v>0</v>
      </c>
      <c r="R217" s="600">
        <f t="shared" si="15"/>
        <v>0</v>
      </c>
    </row>
    <row r="218" spans="1:18">
      <c r="A218" s="572"/>
      <c r="B218" s="573"/>
      <c r="C218" s="577"/>
      <c r="D218" s="577"/>
      <c r="E218" s="3"/>
      <c r="F218" s="273"/>
      <c r="G218" s="273"/>
      <c r="H218" s="8"/>
      <c r="I218" s="5"/>
      <c r="J218" s="410">
        <f t="shared" si="12"/>
        <v>0</v>
      </c>
      <c r="K218" s="2"/>
      <c r="L218" s="8"/>
      <c r="M218" s="7"/>
      <c r="N218" s="9" t="str">
        <f t="shared" si="13"/>
        <v/>
      </c>
      <c r="O218" s="20"/>
      <c r="Q218" s="600">
        <f t="shared" si="14"/>
        <v>0</v>
      </c>
      <c r="R218" s="600">
        <f t="shared" si="15"/>
        <v>0</v>
      </c>
    </row>
    <row r="219" spans="1:18">
      <c r="A219" s="572"/>
      <c r="B219" s="573"/>
      <c r="C219" s="577"/>
      <c r="D219" s="577"/>
      <c r="E219" s="3"/>
      <c r="F219" s="273"/>
      <c r="G219" s="273"/>
      <c r="H219" s="8"/>
      <c r="I219" s="5"/>
      <c r="J219" s="410">
        <f t="shared" si="12"/>
        <v>0</v>
      </c>
      <c r="K219" s="2"/>
      <c r="L219" s="8"/>
      <c r="M219" s="7"/>
      <c r="N219" s="9" t="str">
        <f t="shared" si="13"/>
        <v/>
      </c>
      <c r="O219" s="20"/>
      <c r="Q219" s="600">
        <f t="shared" si="14"/>
        <v>0</v>
      </c>
      <c r="R219" s="600">
        <f t="shared" si="15"/>
        <v>0</v>
      </c>
    </row>
    <row r="220" spans="1:18">
      <c r="A220" s="572"/>
      <c r="B220" s="573"/>
      <c r="C220" s="577"/>
      <c r="D220" s="577"/>
      <c r="E220" s="3"/>
      <c r="F220" s="273"/>
      <c r="G220" s="273"/>
      <c r="H220" s="8"/>
      <c r="I220" s="5"/>
      <c r="J220" s="410">
        <f t="shared" si="12"/>
        <v>0</v>
      </c>
      <c r="K220" s="2"/>
      <c r="L220" s="8"/>
      <c r="M220" s="7"/>
      <c r="N220" s="9" t="str">
        <f t="shared" si="13"/>
        <v/>
      </c>
      <c r="O220" s="20"/>
      <c r="Q220" s="600">
        <f t="shared" si="14"/>
        <v>0</v>
      </c>
      <c r="R220" s="600">
        <f t="shared" si="15"/>
        <v>0</v>
      </c>
    </row>
    <row r="221" spans="1:18">
      <c r="A221" s="572"/>
      <c r="B221" s="573"/>
      <c r="C221" s="577"/>
      <c r="D221" s="577"/>
      <c r="E221" s="3"/>
      <c r="F221" s="273"/>
      <c r="G221" s="273"/>
      <c r="H221" s="8"/>
      <c r="I221" s="5"/>
      <c r="J221" s="410">
        <f t="shared" si="12"/>
        <v>0</v>
      </c>
      <c r="K221" s="2"/>
      <c r="L221" s="8"/>
      <c r="M221" s="7"/>
      <c r="N221" s="9" t="str">
        <f t="shared" si="13"/>
        <v/>
      </c>
      <c r="O221" s="20"/>
      <c r="Q221" s="600">
        <f t="shared" si="14"/>
        <v>0</v>
      </c>
      <c r="R221" s="600">
        <f t="shared" si="15"/>
        <v>0</v>
      </c>
    </row>
    <row r="222" spans="1:18">
      <c r="A222" s="572"/>
      <c r="B222" s="573"/>
      <c r="C222" s="577"/>
      <c r="D222" s="577"/>
      <c r="E222" s="3"/>
      <c r="F222" s="273"/>
      <c r="G222" s="273"/>
      <c r="H222" s="8"/>
      <c r="I222" s="5"/>
      <c r="J222" s="410">
        <f t="shared" si="12"/>
        <v>0</v>
      </c>
      <c r="K222" s="2"/>
      <c r="L222" s="8"/>
      <c r="M222" s="7"/>
      <c r="N222" s="9" t="str">
        <f t="shared" si="13"/>
        <v/>
      </c>
      <c r="O222" s="20"/>
      <c r="Q222" s="600">
        <f t="shared" si="14"/>
        <v>0</v>
      </c>
      <c r="R222" s="600">
        <f t="shared" si="15"/>
        <v>0</v>
      </c>
    </row>
    <row r="223" spans="1:18">
      <c r="A223" s="572"/>
      <c r="B223" s="573"/>
      <c r="C223" s="577"/>
      <c r="D223" s="577"/>
      <c r="E223" s="3"/>
      <c r="F223" s="273"/>
      <c r="G223" s="273"/>
      <c r="H223" s="8"/>
      <c r="I223" s="5"/>
      <c r="J223" s="410">
        <f t="shared" si="12"/>
        <v>0</v>
      </c>
      <c r="K223" s="2"/>
      <c r="L223" s="8"/>
      <c r="M223" s="7"/>
      <c r="N223" s="9" t="str">
        <f t="shared" si="13"/>
        <v/>
      </c>
      <c r="O223" s="20"/>
      <c r="Q223" s="600">
        <f t="shared" si="14"/>
        <v>0</v>
      </c>
      <c r="R223" s="600">
        <f t="shared" si="15"/>
        <v>0</v>
      </c>
    </row>
    <row r="224" spans="1:18">
      <c r="A224" s="572"/>
      <c r="B224" s="573"/>
      <c r="C224" s="577"/>
      <c r="D224" s="577"/>
      <c r="E224" s="3"/>
      <c r="F224" s="273"/>
      <c r="G224" s="273"/>
      <c r="H224" s="8"/>
      <c r="I224" s="5"/>
      <c r="J224" s="410">
        <f t="shared" si="12"/>
        <v>0</v>
      </c>
      <c r="K224" s="2"/>
      <c r="L224" s="8"/>
      <c r="M224" s="7"/>
      <c r="N224" s="9" t="str">
        <f t="shared" si="13"/>
        <v/>
      </c>
      <c r="O224" s="20"/>
      <c r="Q224" s="600">
        <f t="shared" si="14"/>
        <v>0</v>
      </c>
      <c r="R224" s="600">
        <f t="shared" si="15"/>
        <v>0</v>
      </c>
    </row>
    <row r="225" spans="1:18">
      <c r="A225" s="572"/>
      <c r="B225" s="573"/>
      <c r="C225" s="577"/>
      <c r="D225" s="577"/>
      <c r="E225" s="3"/>
      <c r="F225" s="273"/>
      <c r="G225" s="273"/>
      <c r="H225" s="8"/>
      <c r="I225" s="5"/>
      <c r="J225" s="410">
        <f t="shared" si="12"/>
        <v>0</v>
      </c>
      <c r="K225" s="2"/>
      <c r="L225" s="8"/>
      <c r="M225" s="7"/>
      <c r="N225" s="9" t="str">
        <f t="shared" si="13"/>
        <v/>
      </c>
      <c r="O225" s="20"/>
      <c r="Q225" s="600">
        <f t="shared" si="14"/>
        <v>0</v>
      </c>
      <c r="R225" s="600">
        <f t="shared" si="15"/>
        <v>0</v>
      </c>
    </row>
    <row r="226" spans="1:18">
      <c r="A226" s="572"/>
      <c r="B226" s="573"/>
      <c r="C226" s="577"/>
      <c r="D226" s="577"/>
      <c r="E226" s="3"/>
      <c r="F226" s="273"/>
      <c r="G226" s="273"/>
      <c r="H226" s="8"/>
      <c r="I226" s="5"/>
      <c r="J226" s="410">
        <f t="shared" si="12"/>
        <v>0</v>
      </c>
      <c r="K226" s="2"/>
      <c r="L226" s="8"/>
      <c r="M226" s="7"/>
      <c r="N226" s="9" t="str">
        <f t="shared" si="13"/>
        <v/>
      </c>
      <c r="O226" s="20"/>
      <c r="Q226" s="600">
        <f t="shared" si="14"/>
        <v>0</v>
      </c>
      <c r="R226" s="600">
        <f t="shared" si="15"/>
        <v>0</v>
      </c>
    </row>
    <row r="227" spans="1:18">
      <c r="A227" s="572"/>
      <c r="B227" s="573"/>
      <c r="C227" s="577"/>
      <c r="D227" s="577"/>
      <c r="E227" s="3"/>
      <c r="F227" s="273"/>
      <c r="G227" s="273"/>
      <c r="H227" s="8"/>
      <c r="I227" s="5"/>
      <c r="J227" s="410">
        <f t="shared" si="12"/>
        <v>0</v>
      </c>
      <c r="K227" s="2"/>
      <c r="L227" s="8"/>
      <c r="M227" s="7"/>
      <c r="N227" s="9" t="str">
        <f t="shared" si="13"/>
        <v/>
      </c>
      <c r="O227" s="20"/>
      <c r="Q227" s="600">
        <f t="shared" si="14"/>
        <v>0</v>
      </c>
      <c r="R227" s="600">
        <f t="shared" si="15"/>
        <v>0</v>
      </c>
    </row>
    <row r="228" spans="1:18">
      <c r="A228" s="572"/>
      <c r="B228" s="573"/>
      <c r="C228" s="577"/>
      <c r="D228" s="577"/>
      <c r="E228" s="3"/>
      <c r="F228" s="273"/>
      <c r="G228" s="273"/>
      <c r="H228" s="8"/>
      <c r="I228" s="5"/>
      <c r="J228" s="410">
        <f t="shared" si="12"/>
        <v>0</v>
      </c>
      <c r="K228" s="2"/>
      <c r="L228" s="8"/>
      <c r="M228" s="7"/>
      <c r="N228" s="9" t="str">
        <f t="shared" si="13"/>
        <v/>
      </c>
      <c r="O228" s="20"/>
      <c r="Q228" s="600">
        <f t="shared" si="14"/>
        <v>0</v>
      </c>
      <c r="R228" s="600">
        <f t="shared" si="15"/>
        <v>0</v>
      </c>
    </row>
    <row r="229" spans="1:18">
      <c r="A229" s="572"/>
      <c r="B229" s="573"/>
      <c r="C229" s="577"/>
      <c r="D229" s="577"/>
      <c r="E229" s="3"/>
      <c r="F229" s="273"/>
      <c r="G229" s="273"/>
      <c r="H229" s="8"/>
      <c r="I229" s="5"/>
      <c r="J229" s="410">
        <f t="shared" si="12"/>
        <v>0</v>
      </c>
      <c r="K229" s="2"/>
      <c r="L229" s="8"/>
      <c r="M229" s="7"/>
      <c r="N229" s="9" t="str">
        <f t="shared" si="13"/>
        <v/>
      </c>
      <c r="O229" s="20"/>
      <c r="Q229" s="600">
        <f t="shared" si="14"/>
        <v>0</v>
      </c>
      <c r="R229" s="600">
        <f t="shared" si="15"/>
        <v>0</v>
      </c>
    </row>
    <row r="230" spans="1:18">
      <c r="A230" s="572"/>
      <c r="B230" s="573"/>
      <c r="C230" s="577"/>
      <c r="D230" s="577"/>
      <c r="E230" s="3"/>
      <c r="F230" s="273"/>
      <c r="G230" s="273"/>
      <c r="H230" s="8"/>
      <c r="I230" s="5"/>
      <c r="J230" s="410">
        <f t="shared" si="12"/>
        <v>0</v>
      </c>
      <c r="K230" s="2"/>
      <c r="L230" s="8"/>
      <c r="M230" s="7"/>
      <c r="N230" s="9" t="str">
        <f t="shared" si="13"/>
        <v/>
      </c>
      <c r="O230" s="20"/>
      <c r="Q230" s="600">
        <f t="shared" si="14"/>
        <v>0</v>
      </c>
      <c r="R230" s="600">
        <f t="shared" si="15"/>
        <v>0</v>
      </c>
    </row>
    <row r="231" spans="1:18">
      <c r="A231" s="572"/>
      <c r="B231" s="573"/>
      <c r="C231" s="577"/>
      <c r="D231" s="577"/>
      <c r="E231" s="3"/>
      <c r="F231" s="273"/>
      <c r="G231" s="273"/>
      <c r="H231" s="8"/>
      <c r="I231" s="5"/>
      <c r="J231" s="410">
        <f t="shared" si="12"/>
        <v>0</v>
      </c>
      <c r="K231" s="2"/>
      <c r="L231" s="8"/>
      <c r="M231" s="7"/>
      <c r="N231" s="9" t="str">
        <f t="shared" si="13"/>
        <v/>
      </c>
      <c r="O231" s="20"/>
      <c r="Q231" s="600">
        <f t="shared" si="14"/>
        <v>0</v>
      </c>
      <c r="R231" s="600">
        <f t="shared" si="15"/>
        <v>0</v>
      </c>
    </row>
    <row r="232" spans="1:18">
      <c r="A232" s="572"/>
      <c r="B232" s="573"/>
      <c r="C232" s="577"/>
      <c r="D232" s="577"/>
      <c r="E232" s="3"/>
      <c r="F232" s="273"/>
      <c r="G232" s="273"/>
      <c r="H232" s="8"/>
      <c r="I232" s="5"/>
      <c r="J232" s="410">
        <f t="shared" si="12"/>
        <v>0</v>
      </c>
      <c r="K232" s="2"/>
      <c r="L232" s="8"/>
      <c r="M232" s="7"/>
      <c r="N232" s="9" t="str">
        <f t="shared" si="13"/>
        <v/>
      </c>
      <c r="O232" s="20"/>
      <c r="Q232" s="600">
        <f t="shared" si="14"/>
        <v>0</v>
      </c>
      <c r="R232" s="600">
        <f t="shared" si="15"/>
        <v>0</v>
      </c>
    </row>
    <row r="233" spans="1:18">
      <c r="A233" s="572"/>
      <c r="B233" s="573"/>
      <c r="C233" s="577"/>
      <c r="D233" s="577"/>
      <c r="E233" s="3"/>
      <c r="F233" s="273"/>
      <c r="G233" s="273"/>
      <c r="H233" s="8"/>
      <c r="I233" s="5"/>
      <c r="J233" s="410">
        <f t="shared" si="12"/>
        <v>0</v>
      </c>
      <c r="K233" s="2"/>
      <c r="L233" s="8"/>
      <c r="M233" s="7"/>
      <c r="N233" s="9" t="str">
        <f t="shared" si="13"/>
        <v/>
      </c>
      <c r="O233" s="20"/>
      <c r="Q233" s="600">
        <f t="shared" si="14"/>
        <v>0</v>
      </c>
      <c r="R233" s="600">
        <f t="shared" si="15"/>
        <v>0</v>
      </c>
    </row>
    <row r="234" spans="1:18">
      <c r="A234" s="572"/>
      <c r="B234" s="573"/>
      <c r="C234" s="577"/>
      <c r="D234" s="577"/>
      <c r="E234" s="3"/>
      <c r="F234" s="273"/>
      <c r="G234" s="273"/>
      <c r="H234" s="8"/>
      <c r="I234" s="5"/>
      <c r="J234" s="410">
        <f t="shared" si="12"/>
        <v>0</v>
      </c>
      <c r="K234" s="2"/>
      <c r="L234" s="8"/>
      <c r="M234" s="7"/>
      <c r="N234" s="9" t="str">
        <f t="shared" si="13"/>
        <v/>
      </c>
      <c r="O234" s="20"/>
      <c r="Q234" s="600">
        <f t="shared" si="14"/>
        <v>0</v>
      </c>
      <c r="R234" s="600">
        <f t="shared" si="15"/>
        <v>0</v>
      </c>
    </row>
    <row r="235" spans="1:18">
      <c r="A235" s="572"/>
      <c r="B235" s="573"/>
      <c r="C235" s="577"/>
      <c r="D235" s="577"/>
      <c r="E235" s="3"/>
      <c r="F235" s="273"/>
      <c r="G235" s="273"/>
      <c r="H235" s="8"/>
      <c r="I235" s="5"/>
      <c r="J235" s="410">
        <f t="shared" si="12"/>
        <v>0</v>
      </c>
      <c r="K235" s="2"/>
      <c r="L235" s="8"/>
      <c r="M235" s="7"/>
      <c r="N235" s="9" t="str">
        <f t="shared" si="13"/>
        <v/>
      </c>
      <c r="O235" s="20"/>
      <c r="Q235" s="600">
        <f t="shared" si="14"/>
        <v>0</v>
      </c>
      <c r="R235" s="600">
        <f t="shared" si="15"/>
        <v>0</v>
      </c>
    </row>
    <row r="236" spans="1:18">
      <c r="A236" s="572"/>
      <c r="B236" s="573"/>
      <c r="C236" s="577"/>
      <c r="D236" s="577"/>
      <c r="E236" s="3"/>
      <c r="F236" s="273"/>
      <c r="G236" s="273"/>
      <c r="H236" s="8"/>
      <c r="I236" s="5"/>
      <c r="J236" s="410">
        <f t="shared" si="12"/>
        <v>0</v>
      </c>
      <c r="K236" s="2"/>
      <c r="L236" s="8"/>
      <c r="M236" s="7"/>
      <c r="N236" s="9" t="str">
        <f t="shared" si="13"/>
        <v/>
      </c>
      <c r="O236" s="20"/>
      <c r="Q236" s="600">
        <f t="shared" si="14"/>
        <v>0</v>
      </c>
      <c r="R236" s="600">
        <f t="shared" si="15"/>
        <v>0</v>
      </c>
    </row>
    <row r="237" spans="1:18">
      <c r="A237" s="572"/>
      <c r="B237" s="573"/>
      <c r="C237" s="577"/>
      <c r="D237" s="577"/>
      <c r="E237" s="3"/>
      <c r="F237" s="273"/>
      <c r="G237" s="273"/>
      <c r="H237" s="8"/>
      <c r="I237" s="5"/>
      <c r="J237" s="410">
        <f t="shared" si="12"/>
        <v>0</v>
      </c>
      <c r="K237" s="2"/>
      <c r="L237" s="8"/>
      <c r="M237" s="7"/>
      <c r="N237" s="9" t="str">
        <f t="shared" si="13"/>
        <v/>
      </c>
      <c r="O237" s="20"/>
      <c r="Q237" s="600">
        <f t="shared" si="14"/>
        <v>0</v>
      </c>
      <c r="R237" s="600">
        <f t="shared" si="15"/>
        <v>0</v>
      </c>
    </row>
    <row r="238" spans="1:18">
      <c r="A238" s="572"/>
      <c r="B238" s="573"/>
      <c r="C238" s="577"/>
      <c r="D238" s="577"/>
      <c r="E238" s="3"/>
      <c r="F238" s="273"/>
      <c r="G238" s="273"/>
      <c r="H238" s="8"/>
      <c r="I238" s="5"/>
      <c r="J238" s="410">
        <f t="shared" si="12"/>
        <v>0</v>
      </c>
      <c r="K238" s="2"/>
      <c r="L238" s="8"/>
      <c r="M238" s="7"/>
      <c r="N238" s="9" t="str">
        <f t="shared" si="13"/>
        <v/>
      </c>
      <c r="O238" s="20"/>
      <c r="Q238" s="600">
        <f t="shared" si="14"/>
        <v>0</v>
      </c>
      <c r="R238" s="600">
        <f t="shared" si="15"/>
        <v>0</v>
      </c>
    </row>
    <row r="239" spans="1:18">
      <c r="A239" s="572"/>
      <c r="B239" s="573"/>
      <c r="C239" s="577"/>
      <c r="D239" s="577"/>
      <c r="E239" s="3"/>
      <c r="F239" s="273"/>
      <c r="G239" s="273"/>
      <c r="H239" s="8"/>
      <c r="I239" s="5"/>
      <c r="J239" s="410">
        <f t="shared" si="12"/>
        <v>0</v>
      </c>
      <c r="K239" s="2"/>
      <c r="L239" s="8"/>
      <c r="M239" s="7"/>
      <c r="N239" s="9" t="str">
        <f t="shared" si="13"/>
        <v/>
      </c>
      <c r="O239" s="20"/>
      <c r="Q239" s="600">
        <f t="shared" si="14"/>
        <v>0</v>
      </c>
      <c r="R239" s="600">
        <f t="shared" si="15"/>
        <v>0</v>
      </c>
    </row>
    <row r="240" spans="1:18">
      <c r="A240" s="572"/>
      <c r="B240" s="573"/>
      <c r="C240" s="577"/>
      <c r="D240" s="577"/>
      <c r="E240" s="3"/>
      <c r="F240" s="273"/>
      <c r="G240" s="273"/>
      <c r="H240" s="8"/>
      <c r="I240" s="5"/>
      <c r="J240" s="410">
        <f t="shared" si="12"/>
        <v>0</v>
      </c>
      <c r="K240" s="2"/>
      <c r="L240" s="8"/>
      <c r="M240" s="7"/>
      <c r="N240" s="9" t="str">
        <f t="shared" si="13"/>
        <v/>
      </c>
      <c r="O240" s="20"/>
      <c r="Q240" s="600">
        <f t="shared" si="14"/>
        <v>0</v>
      </c>
      <c r="R240" s="600">
        <f t="shared" si="15"/>
        <v>0</v>
      </c>
    </row>
    <row r="241" spans="1:18">
      <c r="A241" s="572"/>
      <c r="B241" s="573"/>
      <c r="C241" s="577"/>
      <c r="D241" s="577"/>
      <c r="E241" s="3"/>
      <c r="F241" s="273"/>
      <c r="G241" s="273"/>
      <c r="H241" s="8"/>
      <c r="I241" s="5"/>
      <c r="J241" s="410">
        <f t="shared" si="12"/>
        <v>0</v>
      </c>
      <c r="K241" s="2"/>
      <c r="L241" s="8"/>
      <c r="M241" s="7"/>
      <c r="N241" s="9" t="str">
        <f t="shared" si="13"/>
        <v/>
      </c>
      <c r="O241" s="20"/>
      <c r="Q241" s="600">
        <f t="shared" si="14"/>
        <v>0</v>
      </c>
      <c r="R241" s="600">
        <f t="shared" si="15"/>
        <v>0</v>
      </c>
    </row>
    <row r="242" spans="1:18">
      <c r="A242" s="572"/>
      <c r="B242" s="573"/>
      <c r="C242" s="577"/>
      <c r="D242" s="577"/>
      <c r="E242" s="3"/>
      <c r="F242" s="273"/>
      <c r="G242" s="273"/>
      <c r="H242" s="8"/>
      <c r="I242" s="5"/>
      <c r="J242" s="410">
        <f t="shared" si="12"/>
        <v>0</v>
      </c>
      <c r="K242" s="2"/>
      <c r="L242" s="8"/>
      <c r="M242" s="7"/>
      <c r="N242" s="9" t="str">
        <f t="shared" si="13"/>
        <v/>
      </c>
      <c r="O242" s="20"/>
      <c r="Q242" s="600">
        <f t="shared" si="14"/>
        <v>0</v>
      </c>
      <c r="R242" s="600">
        <f t="shared" si="15"/>
        <v>0</v>
      </c>
    </row>
    <row r="243" spans="1:18">
      <c r="A243" s="572"/>
      <c r="B243" s="573"/>
      <c r="C243" s="577"/>
      <c r="D243" s="577"/>
      <c r="E243" s="3"/>
      <c r="F243" s="273"/>
      <c r="G243" s="273"/>
      <c r="H243" s="8"/>
      <c r="I243" s="5"/>
      <c r="J243" s="410">
        <f t="shared" si="12"/>
        <v>0</v>
      </c>
      <c r="K243" s="2"/>
      <c r="L243" s="8"/>
      <c r="M243" s="7"/>
      <c r="N243" s="9" t="str">
        <f t="shared" si="13"/>
        <v/>
      </c>
      <c r="O243" s="20"/>
      <c r="Q243" s="600">
        <f t="shared" si="14"/>
        <v>0</v>
      </c>
      <c r="R243" s="600">
        <f t="shared" si="15"/>
        <v>0</v>
      </c>
    </row>
    <row r="244" spans="1:18">
      <c r="A244" s="572"/>
      <c r="B244" s="573"/>
      <c r="C244" s="577"/>
      <c r="D244" s="577"/>
      <c r="E244" s="3"/>
      <c r="F244" s="273"/>
      <c r="G244" s="273"/>
      <c r="H244" s="8"/>
      <c r="I244" s="5"/>
      <c r="J244" s="410">
        <f t="shared" si="12"/>
        <v>0</v>
      </c>
      <c r="K244" s="2"/>
      <c r="L244" s="8"/>
      <c r="M244" s="7"/>
      <c r="N244" s="9" t="str">
        <f t="shared" si="13"/>
        <v/>
      </c>
      <c r="O244" s="20"/>
      <c r="Q244" s="600">
        <f t="shared" si="14"/>
        <v>0</v>
      </c>
      <c r="R244" s="600">
        <f t="shared" si="15"/>
        <v>0</v>
      </c>
    </row>
    <row r="245" spans="1:18">
      <c r="A245" s="572"/>
      <c r="B245" s="573"/>
      <c r="C245" s="577"/>
      <c r="D245" s="577"/>
      <c r="E245" s="3"/>
      <c r="F245" s="273"/>
      <c r="G245" s="273"/>
      <c r="H245" s="8"/>
      <c r="I245" s="5"/>
      <c r="J245" s="410">
        <f t="shared" si="12"/>
        <v>0</v>
      </c>
      <c r="K245" s="2"/>
      <c r="L245" s="8"/>
      <c r="M245" s="7"/>
      <c r="N245" s="9" t="str">
        <f t="shared" si="13"/>
        <v/>
      </c>
      <c r="O245" s="20"/>
      <c r="Q245" s="600">
        <f t="shared" si="14"/>
        <v>0</v>
      </c>
      <c r="R245" s="600">
        <f t="shared" si="15"/>
        <v>0</v>
      </c>
    </row>
    <row r="246" spans="1:18">
      <c r="A246" s="572"/>
      <c r="B246" s="573"/>
      <c r="C246" s="577"/>
      <c r="D246" s="577"/>
      <c r="E246" s="3"/>
      <c r="F246" s="273"/>
      <c r="G246" s="273"/>
      <c r="H246" s="8"/>
      <c r="I246" s="5"/>
      <c r="J246" s="410">
        <f t="shared" si="12"/>
        <v>0</v>
      </c>
      <c r="K246" s="2"/>
      <c r="L246" s="8"/>
      <c r="M246" s="7"/>
      <c r="N246" s="9" t="str">
        <f t="shared" si="13"/>
        <v/>
      </c>
      <c r="O246" s="20"/>
      <c r="Q246" s="600">
        <f t="shared" si="14"/>
        <v>0</v>
      </c>
      <c r="R246" s="600">
        <f t="shared" si="15"/>
        <v>0</v>
      </c>
    </row>
    <row r="247" spans="1:18">
      <c r="A247" s="572"/>
      <c r="B247" s="573"/>
      <c r="C247" s="577"/>
      <c r="D247" s="577"/>
      <c r="E247" s="3"/>
      <c r="F247" s="273"/>
      <c r="G247" s="273"/>
      <c r="H247" s="8"/>
      <c r="I247" s="5"/>
      <c r="J247" s="410">
        <f t="shared" si="12"/>
        <v>0</v>
      </c>
      <c r="K247" s="2"/>
      <c r="L247" s="8"/>
      <c r="M247" s="7"/>
      <c r="N247" s="9" t="str">
        <f t="shared" si="13"/>
        <v/>
      </c>
      <c r="O247" s="20"/>
      <c r="Q247" s="600">
        <f t="shared" si="14"/>
        <v>0</v>
      </c>
      <c r="R247" s="600">
        <f t="shared" si="15"/>
        <v>0</v>
      </c>
    </row>
    <row r="248" spans="1:18">
      <c r="A248" s="572"/>
      <c r="B248" s="573"/>
      <c r="C248" s="577"/>
      <c r="D248" s="577"/>
      <c r="E248" s="3"/>
      <c r="F248" s="273"/>
      <c r="G248" s="273"/>
      <c r="H248" s="8"/>
      <c r="I248" s="5"/>
      <c r="J248" s="410">
        <f t="shared" si="12"/>
        <v>0</v>
      </c>
      <c r="K248" s="2"/>
      <c r="L248" s="8"/>
      <c r="M248" s="7"/>
      <c r="N248" s="9" t="str">
        <f t="shared" si="13"/>
        <v/>
      </c>
      <c r="O248" s="20"/>
      <c r="Q248" s="600">
        <f t="shared" si="14"/>
        <v>0</v>
      </c>
      <c r="R248" s="600">
        <f t="shared" si="15"/>
        <v>0</v>
      </c>
    </row>
    <row r="249" spans="1:18">
      <c r="A249" s="572"/>
      <c r="B249" s="573"/>
      <c r="C249" s="577"/>
      <c r="D249" s="577"/>
      <c r="E249" s="3"/>
      <c r="F249" s="273"/>
      <c r="G249" s="273"/>
      <c r="H249" s="8"/>
      <c r="I249" s="5"/>
      <c r="J249" s="410">
        <f t="shared" si="12"/>
        <v>0</v>
      </c>
      <c r="K249" s="2"/>
      <c r="L249" s="8"/>
      <c r="M249" s="7"/>
      <c r="N249" s="9" t="str">
        <f t="shared" si="13"/>
        <v/>
      </c>
      <c r="O249" s="20"/>
      <c r="Q249" s="600">
        <f t="shared" si="14"/>
        <v>0</v>
      </c>
      <c r="R249" s="600">
        <f t="shared" si="15"/>
        <v>0</v>
      </c>
    </row>
    <row r="250" spans="1:18">
      <c r="A250" s="572"/>
      <c r="B250" s="573"/>
      <c r="C250" s="577"/>
      <c r="D250" s="577"/>
      <c r="E250" s="3"/>
      <c r="F250" s="273"/>
      <c r="G250" s="273"/>
      <c r="H250" s="8"/>
      <c r="I250" s="5"/>
      <c r="J250" s="410">
        <f t="shared" si="12"/>
        <v>0</v>
      </c>
      <c r="K250" s="2"/>
      <c r="L250" s="8"/>
      <c r="M250" s="7"/>
      <c r="N250" s="9" t="str">
        <f t="shared" si="13"/>
        <v/>
      </c>
      <c r="O250" s="20"/>
      <c r="Q250" s="600">
        <f t="shared" si="14"/>
        <v>0</v>
      </c>
      <c r="R250" s="600">
        <f t="shared" si="15"/>
        <v>0</v>
      </c>
    </row>
    <row r="251" spans="1:18">
      <c r="A251" s="572"/>
      <c r="B251" s="573"/>
      <c r="C251" s="577"/>
      <c r="D251" s="577"/>
      <c r="E251" s="3"/>
      <c r="F251" s="273"/>
      <c r="G251" s="273"/>
      <c r="H251" s="8"/>
      <c r="I251" s="5"/>
      <c r="J251" s="410">
        <f t="shared" si="12"/>
        <v>0</v>
      </c>
      <c r="K251" s="2"/>
      <c r="L251" s="8"/>
      <c r="M251" s="7"/>
      <c r="N251" s="9" t="str">
        <f t="shared" si="13"/>
        <v/>
      </c>
      <c r="O251" s="20"/>
      <c r="Q251" s="600">
        <f t="shared" si="14"/>
        <v>0</v>
      </c>
      <c r="R251" s="600">
        <f t="shared" si="15"/>
        <v>0</v>
      </c>
    </row>
    <row r="252" spans="1:18">
      <c r="A252" s="580"/>
      <c r="B252" s="581"/>
      <c r="C252" s="582"/>
      <c r="D252" s="582"/>
      <c r="E252" s="3"/>
      <c r="F252" s="274"/>
      <c r="G252" s="274"/>
      <c r="H252" s="28"/>
      <c r="I252" s="271"/>
      <c r="J252" s="411">
        <f t="shared" si="12"/>
        <v>0</v>
      </c>
      <c r="K252" s="26"/>
      <c r="L252" s="28"/>
      <c r="M252" s="27"/>
      <c r="N252" s="29" t="str">
        <f t="shared" si="13"/>
        <v/>
      </c>
      <c r="O252" s="20"/>
      <c r="Q252" s="600">
        <f t="shared" si="14"/>
        <v>0</v>
      </c>
      <c r="R252" s="600">
        <f t="shared" si="15"/>
        <v>0</v>
      </c>
    </row>
    <row r="253" spans="1:18">
      <c r="A253" s="583"/>
      <c r="B253" s="584"/>
      <c r="C253" s="576"/>
      <c r="D253" s="576"/>
      <c r="E253" s="3"/>
      <c r="F253" s="273"/>
      <c r="G253" s="273"/>
      <c r="H253" s="8"/>
      <c r="I253" s="8"/>
      <c r="J253" s="412">
        <f t="shared" si="12"/>
        <v>0</v>
      </c>
      <c r="K253" s="35"/>
      <c r="L253" s="8"/>
      <c r="M253" s="7"/>
      <c r="N253" s="9" t="str">
        <f t="shared" si="13"/>
        <v/>
      </c>
      <c r="O253" s="20"/>
      <c r="Q253" s="600">
        <f t="shared" si="14"/>
        <v>0</v>
      </c>
      <c r="R253" s="600">
        <f t="shared" si="15"/>
        <v>0</v>
      </c>
    </row>
    <row r="254" spans="1:18">
      <c r="A254" s="583"/>
      <c r="B254" s="584"/>
      <c r="C254" s="576"/>
      <c r="D254" s="576"/>
      <c r="E254" s="3"/>
      <c r="F254" s="273"/>
      <c r="G254" s="273"/>
      <c r="H254" s="8"/>
      <c r="I254" s="8"/>
      <c r="J254" s="412">
        <f t="shared" si="12"/>
        <v>0</v>
      </c>
      <c r="K254" s="35"/>
      <c r="L254" s="8"/>
      <c r="M254" s="7"/>
      <c r="N254" s="9" t="str">
        <f t="shared" si="13"/>
        <v/>
      </c>
      <c r="O254" s="20"/>
      <c r="Q254" s="600">
        <f t="shared" si="14"/>
        <v>0</v>
      </c>
      <c r="R254" s="600">
        <f t="shared" si="15"/>
        <v>0</v>
      </c>
    </row>
    <row r="255" spans="1:18">
      <c r="A255" s="583"/>
      <c r="B255" s="584"/>
      <c r="C255" s="576"/>
      <c r="D255" s="576"/>
      <c r="E255" s="3"/>
      <c r="F255" s="273"/>
      <c r="G255" s="273"/>
      <c r="H255" s="8"/>
      <c r="I255" s="8"/>
      <c r="J255" s="412">
        <f t="shared" si="12"/>
        <v>0</v>
      </c>
      <c r="K255" s="35"/>
      <c r="L255" s="8"/>
      <c r="M255" s="7"/>
      <c r="N255" s="9" t="str">
        <f t="shared" si="13"/>
        <v/>
      </c>
      <c r="O255" s="20"/>
      <c r="Q255" s="600">
        <f t="shared" si="14"/>
        <v>0</v>
      </c>
      <c r="R255" s="600">
        <f t="shared" si="15"/>
        <v>0</v>
      </c>
    </row>
    <row r="256" spans="1:18">
      <c r="A256" s="583"/>
      <c r="B256" s="584"/>
      <c r="C256" s="576"/>
      <c r="D256" s="576"/>
      <c r="E256" s="3"/>
      <c r="F256" s="273"/>
      <c r="G256" s="273"/>
      <c r="H256" s="8"/>
      <c r="I256" s="8"/>
      <c r="J256" s="412">
        <f t="shared" si="12"/>
        <v>0</v>
      </c>
      <c r="K256" s="35"/>
      <c r="L256" s="8"/>
      <c r="M256" s="7"/>
      <c r="N256" s="9" t="str">
        <f t="shared" si="13"/>
        <v/>
      </c>
      <c r="O256" s="20"/>
      <c r="Q256" s="600">
        <f t="shared" si="14"/>
        <v>0</v>
      </c>
      <c r="R256" s="600">
        <f t="shared" si="15"/>
        <v>0</v>
      </c>
    </row>
    <row r="257" spans="1:18">
      <c r="A257" s="583"/>
      <c r="B257" s="584"/>
      <c r="C257" s="576"/>
      <c r="D257" s="576"/>
      <c r="E257" s="3"/>
      <c r="F257" s="273"/>
      <c r="G257" s="273"/>
      <c r="H257" s="8"/>
      <c r="I257" s="8"/>
      <c r="J257" s="412">
        <f t="shared" si="12"/>
        <v>0</v>
      </c>
      <c r="K257" s="35"/>
      <c r="L257" s="8"/>
      <c r="M257" s="7"/>
      <c r="N257" s="9" t="str">
        <f t="shared" si="13"/>
        <v/>
      </c>
      <c r="O257" s="20"/>
      <c r="Q257" s="600">
        <f t="shared" si="14"/>
        <v>0</v>
      </c>
      <c r="R257" s="600">
        <f t="shared" si="15"/>
        <v>0</v>
      </c>
    </row>
    <row r="258" spans="1:18">
      <c r="A258" s="583"/>
      <c r="B258" s="584"/>
      <c r="C258" s="576"/>
      <c r="D258" s="576"/>
      <c r="E258" s="3"/>
      <c r="F258" s="273"/>
      <c r="G258" s="273"/>
      <c r="H258" s="8"/>
      <c r="I258" s="8"/>
      <c r="J258" s="412">
        <f t="shared" si="12"/>
        <v>0</v>
      </c>
      <c r="K258" s="35"/>
      <c r="L258" s="8"/>
      <c r="M258" s="7"/>
      <c r="N258" s="9" t="str">
        <f t="shared" si="13"/>
        <v/>
      </c>
      <c r="O258" s="20"/>
      <c r="Q258" s="600">
        <f t="shared" si="14"/>
        <v>0</v>
      </c>
      <c r="R258" s="600">
        <f t="shared" si="15"/>
        <v>0</v>
      </c>
    </row>
    <row r="259" spans="1:18">
      <c r="A259" s="583"/>
      <c r="B259" s="584"/>
      <c r="C259" s="576"/>
      <c r="D259" s="576"/>
      <c r="E259" s="3"/>
      <c r="F259" s="273"/>
      <c r="G259" s="273"/>
      <c r="H259" s="8"/>
      <c r="I259" s="8"/>
      <c r="J259" s="412">
        <f t="shared" si="12"/>
        <v>0</v>
      </c>
      <c r="K259" s="35"/>
      <c r="L259" s="8"/>
      <c r="M259" s="7"/>
      <c r="N259" s="9" t="str">
        <f t="shared" si="13"/>
        <v/>
      </c>
      <c r="O259" s="20"/>
      <c r="Q259" s="600">
        <f t="shared" si="14"/>
        <v>0</v>
      </c>
      <c r="R259" s="600">
        <f t="shared" si="15"/>
        <v>0</v>
      </c>
    </row>
    <row r="260" spans="1:18">
      <c r="A260" s="583"/>
      <c r="B260" s="584"/>
      <c r="C260" s="576"/>
      <c r="D260" s="576"/>
      <c r="E260" s="3"/>
      <c r="F260" s="273"/>
      <c r="G260" s="273"/>
      <c r="H260" s="8"/>
      <c r="I260" s="8"/>
      <c r="J260" s="412">
        <f t="shared" si="12"/>
        <v>0</v>
      </c>
      <c r="K260" s="35"/>
      <c r="L260" s="8"/>
      <c r="M260" s="7"/>
      <c r="N260" s="9" t="str">
        <f t="shared" si="13"/>
        <v/>
      </c>
      <c r="O260" s="20"/>
      <c r="Q260" s="600">
        <f t="shared" si="14"/>
        <v>0</v>
      </c>
      <c r="R260" s="600">
        <f t="shared" si="15"/>
        <v>0</v>
      </c>
    </row>
    <row r="261" spans="1:18">
      <c r="A261" s="583"/>
      <c r="B261" s="584"/>
      <c r="C261" s="576"/>
      <c r="D261" s="576"/>
      <c r="E261" s="3"/>
      <c r="F261" s="273"/>
      <c r="G261" s="273"/>
      <c r="H261" s="8"/>
      <c r="I261" s="8"/>
      <c r="J261" s="412">
        <f t="shared" si="12"/>
        <v>0</v>
      </c>
      <c r="K261" s="35"/>
      <c r="L261" s="8"/>
      <c r="M261" s="7"/>
      <c r="N261" s="9" t="str">
        <f t="shared" si="13"/>
        <v/>
      </c>
      <c r="O261" s="20"/>
      <c r="Q261" s="600">
        <f t="shared" si="14"/>
        <v>0</v>
      </c>
      <c r="R261" s="600">
        <f t="shared" si="15"/>
        <v>0</v>
      </c>
    </row>
    <row r="262" spans="1:18">
      <c r="A262" s="583"/>
      <c r="B262" s="584"/>
      <c r="C262" s="576"/>
      <c r="D262" s="576"/>
      <c r="E262" s="3"/>
      <c r="F262" s="273"/>
      <c r="G262" s="273"/>
      <c r="H262" s="8"/>
      <c r="I262" s="8"/>
      <c r="J262" s="412">
        <f t="shared" ref="J262:J325" si="16">(+F262*G262+H262*I262)*E262</f>
        <v>0</v>
      </c>
      <c r="K262" s="35"/>
      <c r="L262" s="8"/>
      <c r="M262" s="7"/>
      <c r="N262" s="9" t="str">
        <f t="shared" ref="N262:N325" si="17">IF(K262=0,"",L262*M262*E262)</f>
        <v/>
      </c>
      <c r="O262" s="20"/>
      <c r="Q262" s="600">
        <f t="shared" ref="Q262:Q325" si="18">F262*G262*E262</f>
        <v>0</v>
      </c>
      <c r="R262" s="600">
        <f t="shared" ref="R262:R325" si="19">H262*E262*I262</f>
        <v>0</v>
      </c>
    </row>
    <row r="263" spans="1:18">
      <c r="A263" s="583"/>
      <c r="B263" s="584"/>
      <c r="C263" s="576"/>
      <c r="D263" s="576"/>
      <c r="E263" s="3"/>
      <c r="F263" s="273"/>
      <c r="G263" s="273"/>
      <c r="H263" s="8"/>
      <c r="I263" s="8"/>
      <c r="J263" s="412">
        <f t="shared" si="16"/>
        <v>0</v>
      </c>
      <c r="K263" s="35"/>
      <c r="L263" s="8"/>
      <c r="M263" s="7"/>
      <c r="N263" s="9" t="str">
        <f t="shared" si="17"/>
        <v/>
      </c>
      <c r="O263" s="20"/>
      <c r="Q263" s="600">
        <f t="shared" si="18"/>
        <v>0</v>
      </c>
      <c r="R263" s="600">
        <f t="shared" si="19"/>
        <v>0</v>
      </c>
    </row>
    <row r="264" spans="1:18">
      <c r="A264" s="583"/>
      <c r="B264" s="584"/>
      <c r="C264" s="576"/>
      <c r="D264" s="576"/>
      <c r="E264" s="3"/>
      <c r="F264" s="273"/>
      <c r="G264" s="273"/>
      <c r="H264" s="8"/>
      <c r="I264" s="8"/>
      <c r="J264" s="412">
        <f t="shared" si="16"/>
        <v>0</v>
      </c>
      <c r="K264" s="35"/>
      <c r="L264" s="8"/>
      <c r="M264" s="7"/>
      <c r="N264" s="9" t="str">
        <f t="shared" si="17"/>
        <v/>
      </c>
      <c r="O264" s="20"/>
      <c r="Q264" s="600">
        <f t="shared" si="18"/>
        <v>0</v>
      </c>
      <c r="R264" s="600">
        <f t="shared" si="19"/>
        <v>0</v>
      </c>
    </row>
    <row r="265" spans="1:18">
      <c r="A265" s="583"/>
      <c r="B265" s="584"/>
      <c r="C265" s="576"/>
      <c r="D265" s="576"/>
      <c r="E265" s="3"/>
      <c r="F265" s="273"/>
      <c r="G265" s="273"/>
      <c r="H265" s="8"/>
      <c r="I265" s="8"/>
      <c r="J265" s="412">
        <f t="shared" si="16"/>
        <v>0</v>
      </c>
      <c r="K265" s="35"/>
      <c r="L265" s="8"/>
      <c r="M265" s="7"/>
      <c r="N265" s="9" t="str">
        <f t="shared" si="17"/>
        <v/>
      </c>
      <c r="O265" s="20"/>
      <c r="Q265" s="600">
        <f t="shared" si="18"/>
        <v>0</v>
      </c>
      <c r="R265" s="600">
        <f t="shared" si="19"/>
        <v>0</v>
      </c>
    </row>
    <row r="266" spans="1:18">
      <c r="A266" s="583"/>
      <c r="B266" s="584"/>
      <c r="C266" s="576"/>
      <c r="D266" s="576"/>
      <c r="E266" s="3"/>
      <c r="F266" s="273"/>
      <c r="G266" s="273"/>
      <c r="H266" s="8"/>
      <c r="I266" s="8"/>
      <c r="J266" s="412">
        <f t="shared" si="16"/>
        <v>0</v>
      </c>
      <c r="K266" s="35"/>
      <c r="L266" s="8"/>
      <c r="M266" s="7"/>
      <c r="N266" s="9" t="str">
        <f t="shared" si="17"/>
        <v/>
      </c>
      <c r="O266" s="20"/>
      <c r="Q266" s="600">
        <f t="shared" si="18"/>
        <v>0</v>
      </c>
      <c r="R266" s="600">
        <f t="shared" si="19"/>
        <v>0</v>
      </c>
    </row>
    <row r="267" spans="1:18">
      <c r="A267" s="583"/>
      <c r="B267" s="584"/>
      <c r="C267" s="576"/>
      <c r="D267" s="576"/>
      <c r="E267" s="3"/>
      <c r="F267" s="273"/>
      <c r="G267" s="273"/>
      <c r="H267" s="8"/>
      <c r="I267" s="8"/>
      <c r="J267" s="412">
        <f t="shared" si="16"/>
        <v>0</v>
      </c>
      <c r="K267" s="35"/>
      <c r="L267" s="8"/>
      <c r="M267" s="7"/>
      <c r="N267" s="9" t="str">
        <f t="shared" si="17"/>
        <v/>
      </c>
      <c r="O267" s="20"/>
      <c r="Q267" s="600">
        <f t="shared" si="18"/>
        <v>0</v>
      </c>
      <c r="R267" s="600">
        <f t="shared" si="19"/>
        <v>0</v>
      </c>
    </row>
    <row r="268" spans="1:18">
      <c r="A268" s="583"/>
      <c r="B268" s="584"/>
      <c r="C268" s="576"/>
      <c r="D268" s="576"/>
      <c r="E268" s="3"/>
      <c r="F268" s="273"/>
      <c r="G268" s="273"/>
      <c r="H268" s="8"/>
      <c r="I268" s="8"/>
      <c r="J268" s="412">
        <f t="shared" si="16"/>
        <v>0</v>
      </c>
      <c r="K268" s="35"/>
      <c r="L268" s="8"/>
      <c r="M268" s="7"/>
      <c r="N268" s="9" t="str">
        <f t="shared" si="17"/>
        <v/>
      </c>
      <c r="O268" s="20"/>
      <c r="Q268" s="600">
        <f t="shared" si="18"/>
        <v>0</v>
      </c>
      <c r="R268" s="600">
        <f t="shared" si="19"/>
        <v>0</v>
      </c>
    </row>
    <row r="269" spans="1:18">
      <c r="A269" s="583"/>
      <c r="B269" s="584"/>
      <c r="C269" s="576"/>
      <c r="D269" s="576"/>
      <c r="E269" s="3"/>
      <c r="F269" s="273"/>
      <c r="G269" s="273"/>
      <c r="H269" s="8"/>
      <c r="I269" s="8"/>
      <c r="J269" s="412">
        <f t="shared" si="16"/>
        <v>0</v>
      </c>
      <c r="K269" s="35"/>
      <c r="L269" s="8"/>
      <c r="M269" s="7"/>
      <c r="N269" s="9" t="str">
        <f t="shared" si="17"/>
        <v/>
      </c>
      <c r="O269" s="20"/>
      <c r="Q269" s="600">
        <f t="shared" si="18"/>
        <v>0</v>
      </c>
      <c r="R269" s="600">
        <f t="shared" si="19"/>
        <v>0</v>
      </c>
    </row>
    <row r="270" spans="1:18">
      <c r="A270" s="583"/>
      <c r="B270" s="584"/>
      <c r="C270" s="576"/>
      <c r="D270" s="576"/>
      <c r="E270" s="3"/>
      <c r="F270" s="273"/>
      <c r="G270" s="273"/>
      <c r="H270" s="8"/>
      <c r="I270" s="8"/>
      <c r="J270" s="412">
        <f t="shared" si="16"/>
        <v>0</v>
      </c>
      <c r="K270" s="35"/>
      <c r="L270" s="8"/>
      <c r="M270" s="7"/>
      <c r="N270" s="9" t="str">
        <f t="shared" si="17"/>
        <v/>
      </c>
      <c r="O270" s="20"/>
      <c r="Q270" s="600">
        <f t="shared" si="18"/>
        <v>0</v>
      </c>
      <c r="R270" s="600">
        <f t="shared" si="19"/>
        <v>0</v>
      </c>
    </row>
    <row r="271" spans="1:18">
      <c r="A271" s="583"/>
      <c r="B271" s="584"/>
      <c r="C271" s="576"/>
      <c r="D271" s="576"/>
      <c r="E271" s="3"/>
      <c r="F271" s="273"/>
      <c r="G271" s="273"/>
      <c r="H271" s="8"/>
      <c r="I271" s="8"/>
      <c r="J271" s="412">
        <f t="shared" si="16"/>
        <v>0</v>
      </c>
      <c r="K271" s="35"/>
      <c r="L271" s="8"/>
      <c r="M271" s="7"/>
      <c r="N271" s="9" t="str">
        <f t="shared" si="17"/>
        <v/>
      </c>
      <c r="O271" s="20"/>
      <c r="Q271" s="600">
        <f t="shared" si="18"/>
        <v>0</v>
      </c>
      <c r="R271" s="600">
        <f t="shared" si="19"/>
        <v>0</v>
      </c>
    </row>
    <row r="272" spans="1:18">
      <c r="A272" s="583"/>
      <c r="B272" s="584"/>
      <c r="C272" s="576"/>
      <c r="D272" s="576"/>
      <c r="E272" s="3"/>
      <c r="F272" s="273"/>
      <c r="G272" s="273"/>
      <c r="H272" s="8"/>
      <c r="I272" s="8"/>
      <c r="J272" s="412">
        <f t="shared" si="16"/>
        <v>0</v>
      </c>
      <c r="K272" s="35"/>
      <c r="L272" s="8"/>
      <c r="M272" s="7"/>
      <c r="N272" s="9" t="str">
        <f t="shared" si="17"/>
        <v/>
      </c>
      <c r="O272" s="20"/>
      <c r="Q272" s="600">
        <f t="shared" si="18"/>
        <v>0</v>
      </c>
      <c r="R272" s="600">
        <f t="shared" si="19"/>
        <v>0</v>
      </c>
    </row>
    <row r="273" spans="1:18">
      <c r="A273" s="583"/>
      <c r="B273" s="584"/>
      <c r="C273" s="576"/>
      <c r="D273" s="576"/>
      <c r="E273" s="3"/>
      <c r="F273" s="273"/>
      <c r="G273" s="273"/>
      <c r="H273" s="8"/>
      <c r="I273" s="8"/>
      <c r="J273" s="412">
        <f t="shared" si="16"/>
        <v>0</v>
      </c>
      <c r="K273" s="35"/>
      <c r="L273" s="8"/>
      <c r="M273" s="7"/>
      <c r="N273" s="9" t="str">
        <f t="shared" si="17"/>
        <v/>
      </c>
      <c r="O273" s="20"/>
      <c r="Q273" s="600">
        <f t="shared" si="18"/>
        <v>0</v>
      </c>
      <c r="R273" s="600">
        <f t="shared" si="19"/>
        <v>0</v>
      </c>
    </row>
    <row r="274" spans="1:18">
      <c r="A274" s="583"/>
      <c r="B274" s="584"/>
      <c r="C274" s="576"/>
      <c r="D274" s="576"/>
      <c r="E274" s="3"/>
      <c r="F274" s="273"/>
      <c r="G274" s="273"/>
      <c r="H274" s="8"/>
      <c r="I274" s="8"/>
      <c r="J274" s="412">
        <f t="shared" si="16"/>
        <v>0</v>
      </c>
      <c r="K274" s="35"/>
      <c r="L274" s="8"/>
      <c r="M274" s="7"/>
      <c r="N274" s="9" t="str">
        <f t="shared" si="17"/>
        <v/>
      </c>
      <c r="O274" s="20"/>
      <c r="Q274" s="600">
        <f t="shared" si="18"/>
        <v>0</v>
      </c>
      <c r="R274" s="600">
        <f t="shared" si="19"/>
        <v>0</v>
      </c>
    </row>
    <row r="275" spans="1:18">
      <c r="A275" s="583"/>
      <c r="B275" s="584"/>
      <c r="C275" s="576"/>
      <c r="D275" s="576"/>
      <c r="E275" s="3"/>
      <c r="F275" s="273"/>
      <c r="G275" s="273"/>
      <c r="H275" s="8"/>
      <c r="I275" s="8"/>
      <c r="J275" s="412">
        <f t="shared" si="16"/>
        <v>0</v>
      </c>
      <c r="K275" s="35"/>
      <c r="L275" s="8"/>
      <c r="M275" s="7"/>
      <c r="N275" s="9" t="str">
        <f t="shared" si="17"/>
        <v/>
      </c>
      <c r="O275" s="20"/>
      <c r="Q275" s="600">
        <f t="shared" si="18"/>
        <v>0</v>
      </c>
      <c r="R275" s="600">
        <f t="shared" si="19"/>
        <v>0</v>
      </c>
    </row>
    <row r="276" spans="1:18">
      <c r="A276" s="583"/>
      <c r="B276" s="584"/>
      <c r="C276" s="576"/>
      <c r="D276" s="576"/>
      <c r="E276" s="3"/>
      <c r="F276" s="273"/>
      <c r="G276" s="273"/>
      <c r="H276" s="8"/>
      <c r="I276" s="8"/>
      <c r="J276" s="412">
        <f t="shared" si="16"/>
        <v>0</v>
      </c>
      <c r="K276" s="35"/>
      <c r="L276" s="8"/>
      <c r="M276" s="7"/>
      <c r="N276" s="9" t="str">
        <f t="shared" si="17"/>
        <v/>
      </c>
      <c r="O276" s="20"/>
      <c r="Q276" s="600">
        <f t="shared" si="18"/>
        <v>0</v>
      </c>
      <c r="R276" s="600">
        <f t="shared" si="19"/>
        <v>0</v>
      </c>
    </row>
    <row r="277" spans="1:18">
      <c r="A277" s="583"/>
      <c r="B277" s="584"/>
      <c r="C277" s="576"/>
      <c r="D277" s="576"/>
      <c r="E277" s="3"/>
      <c r="F277" s="273"/>
      <c r="G277" s="273"/>
      <c r="H277" s="8"/>
      <c r="I277" s="8"/>
      <c r="J277" s="412">
        <f t="shared" si="16"/>
        <v>0</v>
      </c>
      <c r="K277" s="35"/>
      <c r="L277" s="8"/>
      <c r="M277" s="7"/>
      <c r="N277" s="9" t="str">
        <f t="shared" si="17"/>
        <v/>
      </c>
      <c r="O277" s="20"/>
      <c r="Q277" s="600">
        <f t="shared" si="18"/>
        <v>0</v>
      </c>
      <c r="R277" s="600">
        <f t="shared" si="19"/>
        <v>0</v>
      </c>
    </row>
    <row r="278" spans="1:18">
      <c r="A278" s="583"/>
      <c r="B278" s="584"/>
      <c r="C278" s="576"/>
      <c r="D278" s="576"/>
      <c r="E278" s="3"/>
      <c r="F278" s="273"/>
      <c r="G278" s="273"/>
      <c r="H278" s="8"/>
      <c r="I278" s="8"/>
      <c r="J278" s="412">
        <f t="shared" si="16"/>
        <v>0</v>
      </c>
      <c r="K278" s="35"/>
      <c r="L278" s="8"/>
      <c r="M278" s="7"/>
      <c r="N278" s="9" t="str">
        <f t="shared" si="17"/>
        <v/>
      </c>
      <c r="O278" s="20"/>
      <c r="Q278" s="600">
        <f t="shared" si="18"/>
        <v>0</v>
      </c>
      <c r="R278" s="600">
        <f t="shared" si="19"/>
        <v>0</v>
      </c>
    </row>
    <row r="279" spans="1:18">
      <c r="A279" s="583"/>
      <c r="B279" s="584"/>
      <c r="C279" s="576"/>
      <c r="D279" s="576"/>
      <c r="E279" s="3"/>
      <c r="F279" s="273"/>
      <c r="G279" s="273"/>
      <c r="H279" s="8"/>
      <c r="I279" s="8"/>
      <c r="J279" s="412">
        <f t="shared" si="16"/>
        <v>0</v>
      </c>
      <c r="K279" s="35"/>
      <c r="L279" s="8"/>
      <c r="M279" s="7"/>
      <c r="N279" s="9" t="str">
        <f t="shared" si="17"/>
        <v/>
      </c>
      <c r="O279" s="20"/>
      <c r="Q279" s="600">
        <f t="shared" si="18"/>
        <v>0</v>
      </c>
      <c r="R279" s="600">
        <f t="shared" si="19"/>
        <v>0</v>
      </c>
    </row>
    <row r="280" spans="1:18">
      <c r="A280" s="583"/>
      <c r="B280" s="584"/>
      <c r="C280" s="576"/>
      <c r="D280" s="576"/>
      <c r="E280" s="3"/>
      <c r="F280" s="273"/>
      <c r="G280" s="273"/>
      <c r="H280" s="8"/>
      <c r="I280" s="8"/>
      <c r="J280" s="412">
        <f t="shared" si="16"/>
        <v>0</v>
      </c>
      <c r="K280" s="35"/>
      <c r="L280" s="8"/>
      <c r="M280" s="7"/>
      <c r="N280" s="9" t="str">
        <f t="shared" si="17"/>
        <v/>
      </c>
      <c r="O280" s="20"/>
      <c r="Q280" s="600">
        <f t="shared" si="18"/>
        <v>0</v>
      </c>
      <c r="R280" s="600">
        <f t="shared" si="19"/>
        <v>0</v>
      </c>
    </row>
    <row r="281" spans="1:18">
      <c r="A281" s="583"/>
      <c r="B281" s="584"/>
      <c r="C281" s="576"/>
      <c r="D281" s="576"/>
      <c r="E281" s="3"/>
      <c r="F281" s="273"/>
      <c r="G281" s="273"/>
      <c r="H281" s="8"/>
      <c r="I281" s="8"/>
      <c r="J281" s="412">
        <f t="shared" si="16"/>
        <v>0</v>
      </c>
      <c r="K281" s="35"/>
      <c r="L281" s="8"/>
      <c r="M281" s="7"/>
      <c r="N281" s="9" t="str">
        <f t="shared" si="17"/>
        <v/>
      </c>
      <c r="O281" s="20"/>
      <c r="Q281" s="600">
        <f t="shared" si="18"/>
        <v>0</v>
      </c>
      <c r="R281" s="600">
        <f t="shared" si="19"/>
        <v>0</v>
      </c>
    </row>
    <row r="282" spans="1:18">
      <c r="A282" s="583"/>
      <c r="B282" s="584"/>
      <c r="C282" s="576"/>
      <c r="D282" s="576"/>
      <c r="E282" s="3"/>
      <c r="F282" s="273"/>
      <c r="G282" s="273"/>
      <c r="H282" s="8"/>
      <c r="I282" s="8"/>
      <c r="J282" s="412">
        <f t="shared" si="16"/>
        <v>0</v>
      </c>
      <c r="K282" s="35"/>
      <c r="L282" s="8"/>
      <c r="M282" s="7"/>
      <c r="N282" s="9" t="str">
        <f t="shared" si="17"/>
        <v/>
      </c>
      <c r="O282" s="20"/>
      <c r="Q282" s="600">
        <f t="shared" si="18"/>
        <v>0</v>
      </c>
      <c r="R282" s="600">
        <f t="shared" si="19"/>
        <v>0</v>
      </c>
    </row>
    <row r="283" spans="1:18">
      <c r="A283" s="583"/>
      <c r="B283" s="584"/>
      <c r="C283" s="576"/>
      <c r="D283" s="576"/>
      <c r="E283" s="3"/>
      <c r="F283" s="273"/>
      <c r="G283" s="273"/>
      <c r="H283" s="8"/>
      <c r="I283" s="8"/>
      <c r="J283" s="412">
        <f t="shared" si="16"/>
        <v>0</v>
      </c>
      <c r="K283" s="35"/>
      <c r="L283" s="8"/>
      <c r="M283" s="7"/>
      <c r="N283" s="9" t="str">
        <f t="shared" si="17"/>
        <v/>
      </c>
      <c r="O283" s="20"/>
      <c r="Q283" s="600">
        <f t="shared" si="18"/>
        <v>0</v>
      </c>
      <c r="R283" s="600">
        <f t="shared" si="19"/>
        <v>0</v>
      </c>
    </row>
    <row r="284" spans="1:18">
      <c r="A284" s="583"/>
      <c r="B284" s="584"/>
      <c r="C284" s="576"/>
      <c r="D284" s="576"/>
      <c r="E284" s="3"/>
      <c r="F284" s="273"/>
      <c r="G284" s="273"/>
      <c r="H284" s="8"/>
      <c r="I284" s="8"/>
      <c r="J284" s="412">
        <f t="shared" si="16"/>
        <v>0</v>
      </c>
      <c r="K284" s="35"/>
      <c r="L284" s="8"/>
      <c r="M284" s="7"/>
      <c r="N284" s="9" t="str">
        <f t="shared" si="17"/>
        <v/>
      </c>
      <c r="O284" s="20"/>
      <c r="Q284" s="600">
        <f t="shared" si="18"/>
        <v>0</v>
      </c>
      <c r="R284" s="600">
        <f t="shared" si="19"/>
        <v>0</v>
      </c>
    </row>
    <row r="285" spans="1:18">
      <c r="A285" s="583"/>
      <c r="B285" s="584"/>
      <c r="C285" s="576"/>
      <c r="D285" s="576"/>
      <c r="E285" s="3"/>
      <c r="F285" s="273"/>
      <c r="G285" s="273"/>
      <c r="H285" s="8"/>
      <c r="I285" s="8"/>
      <c r="J285" s="412">
        <f t="shared" si="16"/>
        <v>0</v>
      </c>
      <c r="K285" s="35"/>
      <c r="L285" s="8"/>
      <c r="M285" s="7"/>
      <c r="N285" s="9" t="str">
        <f t="shared" si="17"/>
        <v/>
      </c>
      <c r="O285" s="20"/>
      <c r="Q285" s="600">
        <f t="shared" si="18"/>
        <v>0</v>
      </c>
      <c r="R285" s="600">
        <f t="shared" si="19"/>
        <v>0</v>
      </c>
    </row>
    <row r="286" spans="1:18">
      <c r="A286" s="583"/>
      <c r="B286" s="584"/>
      <c r="C286" s="576"/>
      <c r="D286" s="576"/>
      <c r="E286" s="3"/>
      <c r="F286" s="273"/>
      <c r="G286" s="273"/>
      <c r="H286" s="8"/>
      <c r="I286" s="8"/>
      <c r="J286" s="412">
        <f t="shared" si="16"/>
        <v>0</v>
      </c>
      <c r="K286" s="35"/>
      <c r="L286" s="8"/>
      <c r="M286" s="7"/>
      <c r="N286" s="9" t="str">
        <f t="shared" si="17"/>
        <v/>
      </c>
      <c r="O286" s="20"/>
      <c r="Q286" s="600">
        <f t="shared" si="18"/>
        <v>0</v>
      </c>
      <c r="R286" s="600">
        <f t="shared" si="19"/>
        <v>0</v>
      </c>
    </row>
    <row r="287" spans="1:18">
      <c r="A287" s="583"/>
      <c r="B287" s="584"/>
      <c r="C287" s="576"/>
      <c r="D287" s="576"/>
      <c r="E287" s="3"/>
      <c r="F287" s="273"/>
      <c r="G287" s="273"/>
      <c r="H287" s="8"/>
      <c r="I287" s="8"/>
      <c r="J287" s="412">
        <f t="shared" si="16"/>
        <v>0</v>
      </c>
      <c r="K287" s="35"/>
      <c r="L287" s="8"/>
      <c r="M287" s="7"/>
      <c r="N287" s="9" t="str">
        <f t="shared" si="17"/>
        <v/>
      </c>
      <c r="O287" s="20"/>
      <c r="Q287" s="600">
        <f t="shared" si="18"/>
        <v>0</v>
      </c>
      <c r="R287" s="600">
        <f t="shared" si="19"/>
        <v>0</v>
      </c>
    </row>
    <row r="288" spans="1:18">
      <c r="A288" s="583"/>
      <c r="B288" s="584"/>
      <c r="C288" s="576"/>
      <c r="D288" s="576"/>
      <c r="E288" s="3"/>
      <c r="F288" s="273"/>
      <c r="G288" s="273"/>
      <c r="H288" s="8"/>
      <c r="I288" s="8"/>
      <c r="J288" s="412">
        <f t="shared" si="16"/>
        <v>0</v>
      </c>
      <c r="K288" s="35"/>
      <c r="L288" s="8"/>
      <c r="M288" s="7"/>
      <c r="N288" s="9" t="str">
        <f t="shared" si="17"/>
        <v/>
      </c>
      <c r="O288" s="20"/>
      <c r="Q288" s="600">
        <f t="shared" si="18"/>
        <v>0</v>
      </c>
      <c r="R288" s="600">
        <f t="shared" si="19"/>
        <v>0</v>
      </c>
    </row>
    <row r="289" spans="1:18">
      <c r="A289" s="583"/>
      <c r="B289" s="584"/>
      <c r="C289" s="576"/>
      <c r="D289" s="576"/>
      <c r="E289" s="3"/>
      <c r="F289" s="273"/>
      <c r="G289" s="273"/>
      <c r="H289" s="8"/>
      <c r="I289" s="8"/>
      <c r="J289" s="412">
        <f t="shared" si="16"/>
        <v>0</v>
      </c>
      <c r="K289" s="35"/>
      <c r="L289" s="8"/>
      <c r="M289" s="7"/>
      <c r="N289" s="9" t="str">
        <f t="shared" si="17"/>
        <v/>
      </c>
      <c r="O289" s="20"/>
      <c r="Q289" s="600">
        <f t="shared" si="18"/>
        <v>0</v>
      </c>
      <c r="R289" s="600">
        <f t="shared" si="19"/>
        <v>0</v>
      </c>
    </row>
    <row r="290" spans="1:18">
      <c r="A290" s="583"/>
      <c r="B290" s="584"/>
      <c r="C290" s="576"/>
      <c r="D290" s="576"/>
      <c r="E290" s="3"/>
      <c r="F290" s="273"/>
      <c r="G290" s="273"/>
      <c r="H290" s="8"/>
      <c r="I290" s="8"/>
      <c r="J290" s="412">
        <f t="shared" si="16"/>
        <v>0</v>
      </c>
      <c r="K290" s="35"/>
      <c r="L290" s="8"/>
      <c r="M290" s="7"/>
      <c r="N290" s="9" t="str">
        <f t="shared" si="17"/>
        <v/>
      </c>
      <c r="O290" s="20"/>
      <c r="Q290" s="600">
        <f t="shared" si="18"/>
        <v>0</v>
      </c>
      <c r="R290" s="600">
        <f t="shared" si="19"/>
        <v>0</v>
      </c>
    </row>
    <row r="291" spans="1:18">
      <c r="A291" s="583"/>
      <c r="B291" s="584"/>
      <c r="C291" s="576"/>
      <c r="D291" s="576"/>
      <c r="E291" s="3"/>
      <c r="F291" s="273"/>
      <c r="G291" s="273"/>
      <c r="H291" s="8"/>
      <c r="I291" s="8"/>
      <c r="J291" s="412">
        <f t="shared" si="16"/>
        <v>0</v>
      </c>
      <c r="K291" s="35"/>
      <c r="L291" s="8"/>
      <c r="M291" s="7"/>
      <c r="N291" s="9" t="str">
        <f t="shared" si="17"/>
        <v/>
      </c>
      <c r="O291" s="20"/>
      <c r="Q291" s="600">
        <f t="shared" si="18"/>
        <v>0</v>
      </c>
      <c r="R291" s="600">
        <f t="shared" si="19"/>
        <v>0</v>
      </c>
    </row>
    <row r="292" spans="1:18">
      <c r="A292" s="583"/>
      <c r="B292" s="584"/>
      <c r="C292" s="576"/>
      <c r="D292" s="576"/>
      <c r="E292" s="3"/>
      <c r="F292" s="273"/>
      <c r="G292" s="273"/>
      <c r="H292" s="8"/>
      <c r="I292" s="8"/>
      <c r="J292" s="412">
        <f t="shared" si="16"/>
        <v>0</v>
      </c>
      <c r="K292" s="35"/>
      <c r="L292" s="8"/>
      <c r="M292" s="7"/>
      <c r="N292" s="9" t="str">
        <f t="shared" si="17"/>
        <v/>
      </c>
      <c r="O292" s="20"/>
      <c r="Q292" s="600">
        <f t="shared" si="18"/>
        <v>0</v>
      </c>
      <c r="R292" s="600">
        <f t="shared" si="19"/>
        <v>0</v>
      </c>
    </row>
    <row r="293" spans="1:18">
      <c r="A293" s="583"/>
      <c r="B293" s="584"/>
      <c r="C293" s="576"/>
      <c r="D293" s="576"/>
      <c r="E293" s="3"/>
      <c r="F293" s="273"/>
      <c r="G293" s="273"/>
      <c r="H293" s="8"/>
      <c r="I293" s="8"/>
      <c r="J293" s="412">
        <f t="shared" si="16"/>
        <v>0</v>
      </c>
      <c r="K293" s="35"/>
      <c r="L293" s="8"/>
      <c r="M293" s="7"/>
      <c r="N293" s="9" t="str">
        <f t="shared" si="17"/>
        <v/>
      </c>
      <c r="O293" s="20"/>
      <c r="Q293" s="600">
        <f t="shared" si="18"/>
        <v>0</v>
      </c>
      <c r="R293" s="600">
        <f t="shared" si="19"/>
        <v>0</v>
      </c>
    </row>
    <row r="294" spans="1:18">
      <c r="A294" s="583"/>
      <c r="B294" s="584"/>
      <c r="C294" s="576"/>
      <c r="D294" s="576"/>
      <c r="E294" s="3"/>
      <c r="F294" s="273"/>
      <c r="G294" s="273"/>
      <c r="H294" s="8"/>
      <c r="I294" s="8"/>
      <c r="J294" s="412">
        <f t="shared" si="16"/>
        <v>0</v>
      </c>
      <c r="K294" s="35"/>
      <c r="L294" s="8"/>
      <c r="M294" s="7"/>
      <c r="N294" s="9" t="str">
        <f t="shared" si="17"/>
        <v/>
      </c>
      <c r="O294" s="20"/>
      <c r="Q294" s="600">
        <f t="shared" si="18"/>
        <v>0</v>
      </c>
      <c r="R294" s="600">
        <f t="shared" si="19"/>
        <v>0</v>
      </c>
    </row>
    <row r="295" spans="1:18">
      <c r="A295" s="583"/>
      <c r="B295" s="584"/>
      <c r="C295" s="576"/>
      <c r="D295" s="576"/>
      <c r="E295" s="3"/>
      <c r="F295" s="273"/>
      <c r="G295" s="273"/>
      <c r="H295" s="8"/>
      <c r="I295" s="8"/>
      <c r="J295" s="412">
        <f t="shared" si="16"/>
        <v>0</v>
      </c>
      <c r="K295" s="35"/>
      <c r="L295" s="8"/>
      <c r="M295" s="7"/>
      <c r="N295" s="9" t="str">
        <f t="shared" si="17"/>
        <v/>
      </c>
      <c r="O295" s="20"/>
      <c r="Q295" s="600">
        <f t="shared" si="18"/>
        <v>0</v>
      </c>
      <c r="R295" s="600">
        <f t="shared" si="19"/>
        <v>0</v>
      </c>
    </row>
    <row r="296" spans="1:18">
      <c r="A296" s="583"/>
      <c r="B296" s="584"/>
      <c r="C296" s="576"/>
      <c r="D296" s="576"/>
      <c r="E296" s="3"/>
      <c r="F296" s="273"/>
      <c r="G296" s="273"/>
      <c r="H296" s="8"/>
      <c r="I296" s="8"/>
      <c r="J296" s="412">
        <f t="shared" si="16"/>
        <v>0</v>
      </c>
      <c r="K296" s="35"/>
      <c r="L296" s="8"/>
      <c r="M296" s="7"/>
      <c r="N296" s="9" t="str">
        <f t="shared" si="17"/>
        <v/>
      </c>
      <c r="O296" s="20"/>
      <c r="Q296" s="600">
        <f t="shared" si="18"/>
        <v>0</v>
      </c>
      <c r="R296" s="600">
        <f t="shared" si="19"/>
        <v>0</v>
      </c>
    </row>
    <row r="297" spans="1:18">
      <c r="A297" s="583"/>
      <c r="B297" s="584"/>
      <c r="C297" s="576"/>
      <c r="D297" s="576"/>
      <c r="E297" s="3"/>
      <c r="F297" s="273"/>
      <c r="G297" s="273"/>
      <c r="H297" s="8"/>
      <c r="I297" s="8"/>
      <c r="J297" s="412">
        <f t="shared" si="16"/>
        <v>0</v>
      </c>
      <c r="K297" s="35"/>
      <c r="L297" s="8"/>
      <c r="M297" s="7"/>
      <c r="N297" s="9" t="str">
        <f t="shared" si="17"/>
        <v/>
      </c>
      <c r="O297" s="20"/>
      <c r="Q297" s="600">
        <f t="shared" si="18"/>
        <v>0</v>
      </c>
      <c r="R297" s="600">
        <f t="shared" si="19"/>
        <v>0</v>
      </c>
    </row>
    <row r="298" spans="1:18">
      <c r="A298" s="583"/>
      <c r="B298" s="584"/>
      <c r="C298" s="576"/>
      <c r="D298" s="576"/>
      <c r="E298" s="3"/>
      <c r="F298" s="273"/>
      <c r="G298" s="273"/>
      <c r="H298" s="8"/>
      <c r="I298" s="8"/>
      <c r="J298" s="412">
        <f t="shared" si="16"/>
        <v>0</v>
      </c>
      <c r="K298" s="35"/>
      <c r="L298" s="8"/>
      <c r="M298" s="7"/>
      <c r="N298" s="9" t="str">
        <f t="shared" si="17"/>
        <v/>
      </c>
      <c r="O298" s="20"/>
      <c r="Q298" s="600">
        <f t="shared" si="18"/>
        <v>0</v>
      </c>
      <c r="R298" s="600">
        <f t="shared" si="19"/>
        <v>0</v>
      </c>
    </row>
    <row r="299" spans="1:18">
      <c r="A299" s="583"/>
      <c r="B299" s="584"/>
      <c r="C299" s="576"/>
      <c r="D299" s="576"/>
      <c r="E299" s="3"/>
      <c r="F299" s="273"/>
      <c r="G299" s="273"/>
      <c r="H299" s="8"/>
      <c r="I299" s="8"/>
      <c r="J299" s="412">
        <f t="shared" si="16"/>
        <v>0</v>
      </c>
      <c r="K299" s="35"/>
      <c r="L299" s="8"/>
      <c r="M299" s="7"/>
      <c r="N299" s="9" t="str">
        <f t="shared" si="17"/>
        <v/>
      </c>
      <c r="O299" s="20"/>
      <c r="Q299" s="600">
        <f t="shared" si="18"/>
        <v>0</v>
      </c>
      <c r="R299" s="600">
        <f t="shared" si="19"/>
        <v>0</v>
      </c>
    </row>
    <row r="300" spans="1:18">
      <c r="A300" s="583"/>
      <c r="B300" s="584"/>
      <c r="C300" s="576"/>
      <c r="D300" s="576"/>
      <c r="E300" s="3"/>
      <c r="F300" s="273"/>
      <c r="G300" s="273"/>
      <c r="H300" s="8"/>
      <c r="I300" s="8"/>
      <c r="J300" s="412">
        <f t="shared" si="16"/>
        <v>0</v>
      </c>
      <c r="K300" s="35"/>
      <c r="L300" s="8"/>
      <c r="M300" s="7"/>
      <c r="N300" s="9" t="str">
        <f t="shared" si="17"/>
        <v/>
      </c>
      <c r="O300" s="20"/>
      <c r="Q300" s="600">
        <f t="shared" si="18"/>
        <v>0</v>
      </c>
      <c r="R300" s="600">
        <f t="shared" si="19"/>
        <v>0</v>
      </c>
    </row>
    <row r="301" spans="1:18">
      <c r="A301" s="583"/>
      <c r="B301" s="584"/>
      <c r="C301" s="576"/>
      <c r="D301" s="576"/>
      <c r="E301" s="3"/>
      <c r="F301" s="273"/>
      <c r="G301" s="273"/>
      <c r="H301" s="8"/>
      <c r="I301" s="8"/>
      <c r="J301" s="412">
        <f t="shared" si="16"/>
        <v>0</v>
      </c>
      <c r="K301" s="35"/>
      <c r="L301" s="8"/>
      <c r="M301" s="7"/>
      <c r="N301" s="9" t="str">
        <f t="shared" si="17"/>
        <v/>
      </c>
      <c r="O301" s="20"/>
      <c r="Q301" s="600">
        <f t="shared" si="18"/>
        <v>0</v>
      </c>
      <c r="R301" s="600">
        <f t="shared" si="19"/>
        <v>0</v>
      </c>
    </row>
    <row r="302" spans="1:18">
      <c r="A302" s="583"/>
      <c r="B302" s="584"/>
      <c r="C302" s="576"/>
      <c r="D302" s="576"/>
      <c r="E302" s="3"/>
      <c r="F302" s="273"/>
      <c r="G302" s="273"/>
      <c r="H302" s="8"/>
      <c r="I302" s="8"/>
      <c r="J302" s="412">
        <f t="shared" si="16"/>
        <v>0</v>
      </c>
      <c r="K302" s="35"/>
      <c r="L302" s="8"/>
      <c r="M302" s="7"/>
      <c r="N302" s="9" t="str">
        <f t="shared" si="17"/>
        <v/>
      </c>
      <c r="O302" s="20"/>
      <c r="Q302" s="600">
        <f t="shared" si="18"/>
        <v>0</v>
      </c>
      <c r="R302" s="600">
        <f t="shared" si="19"/>
        <v>0</v>
      </c>
    </row>
    <row r="303" spans="1:18">
      <c r="A303" s="583"/>
      <c r="B303" s="584"/>
      <c r="C303" s="576"/>
      <c r="D303" s="576"/>
      <c r="E303" s="3"/>
      <c r="F303" s="273"/>
      <c r="G303" s="273"/>
      <c r="H303" s="8"/>
      <c r="I303" s="8"/>
      <c r="J303" s="412">
        <f t="shared" si="16"/>
        <v>0</v>
      </c>
      <c r="K303" s="35"/>
      <c r="L303" s="8"/>
      <c r="M303" s="7"/>
      <c r="N303" s="9" t="str">
        <f t="shared" si="17"/>
        <v/>
      </c>
      <c r="O303" s="20"/>
      <c r="Q303" s="600">
        <f t="shared" si="18"/>
        <v>0</v>
      </c>
      <c r="R303" s="600">
        <f t="shared" si="19"/>
        <v>0</v>
      </c>
    </row>
    <row r="304" spans="1:18">
      <c r="A304" s="583"/>
      <c r="B304" s="584"/>
      <c r="C304" s="576"/>
      <c r="D304" s="576"/>
      <c r="E304" s="3"/>
      <c r="F304" s="273"/>
      <c r="G304" s="273"/>
      <c r="H304" s="8"/>
      <c r="I304" s="8"/>
      <c r="J304" s="412">
        <f t="shared" si="16"/>
        <v>0</v>
      </c>
      <c r="K304" s="35"/>
      <c r="L304" s="8"/>
      <c r="M304" s="7"/>
      <c r="N304" s="9" t="str">
        <f t="shared" si="17"/>
        <v/>
      </c>
      <c r="O304" s="20"/>
      <c r="Q304" s="600">
        <f t="shared" si="18"/>
        <v>0</v>
      </c>
      <c r="R304" s="600">
        <f t="shared" si="19"/>
        <v>0</v>
      </c>
    </row>
    <row r="305" spans="1:18">
      <c r="A305" s="583"/>
      <c r="B305" s="584"/>
      <c r="C305" s="576"/>
      <c r="D305" s="576"/>
      <c r="E305" s="3"/>
      <c r="F305" s="273"/>
      <c r="G305" s="273"/>
      <c r="H305" s="8"/>
      <c r="I305" s="8"/>
      <c r="J305" s="412">
        <f t="shared" si="16"/>
        <v>0</v>
      </c>
      <c r="K305" s="35"/>
      <c r="L305" s="8"/>
      <c r="M305" s="7"/>
      <c r="N305" s="9" t="str">
        <f t="shared" si="17"/>
        <v/>
      </c>
      <c r="O305" s="20"/>
      <c r="Q305" s="600">
        <f t="shared" si="18"/>
        <v>0</v>
      </c>
      <c r="R305" s="600">
        <f t="shared" si="19"/>
        <v>0</v>
      </c>
    </row>
    <row r="306" spans="1:18">
      <c r="A306" s="583"/>
      <c r="B306" s="584"/>
      <c r="C306" s="576"/>
      <c r="D306" s="576"/>
      <c r="E306" s="3"/>
      <c r="F306" s="273"/>
      <c r="G306" s="273"/>
      <c r="H306" s="8"/>
      <c r="I306" s="8"/>
      <c r="J306" s="412">
        <f t="shared" si="16"/>
        <v>0</v>
      </c>
      <c r="K306" s="35"/>
      <c r="L306" s="8"/>
      <c r="M306" s="7"/>
      <c r="N306" s="9" t="str">
        <f t="shared" si="17"/>
        <v/>
      </c>
      <c r="O306" s="20"/>
      <c r="Q306" s="600">
        <f t="shared" si="18"/>
        <v>0</v>
      </c>
      <c r="R306" s="600">
        <f t="shared" si="19"/>
        <v>0</v>
      </c>
    </row>
    <row r="307" spans="1:18">
      <c r="A307" s="583"/>
      <c r="B307" s="584"/>
      <c r="C307" s="576"/>
      <c r="D307" s="576"/>
      <c r="E307" s="3"/>
      <c r="F307" s="273"/>
      <c r="G307" s="273"/>
      <c r="H307" s="8"/>
      <c r="I307" s="8"/>
      <c r="J307" s="412">
        <f t="shared" si="16"/>
        <v>0</v>
      </c>
      <c r="K307" s="35"/>
      <c r="L307" s="8"/>
      <c r="M307" s="7"/>
      <c r="N307" s="9" t="str">
        <f t="shared" si="17"/>
        <v/>
      </c>
      <c r="O307" s="20"/>
      <c r="Q307" s="600">
        <f t="shared" si="18"/>
        <v>0</v>
      </c>
      <c r="R307" s="600">
        <f t="shared" si="19"/>
        <v>0</v>
      </c>
    </row>
    <row r="308" spans="1:18">
      <c r="A308" s="583"/>
      <c r="B308" s="584"/>
      <c r="C308" s="576"/>
      <c r="D308" s="576"/>
      <c r="E308" s="3"/>
      <c r="F308" s="273"/>
      <c r="G308" s="273"/>
      <c r="H308" s="8"/>
      <c r="I308" s="8"/>
      <c r="J308" s="412">
        <f t="shared" si="16"/>
        <v>0</v>
      </c>
      <c r="K308" s="35"/>
      <c r="L308" s="8"/>
      <c r="M308" s="7"/>
      <c r="N308" s="9" t="str">
        <f t="shared" si="17"/>
        <v/>
      </c>
      <c r="O308" s="20"/>
      <c r="Q308" s="600">
        <f t="shared" si="18"/>
        <v>0</v>
      </c>
      <c r="R308" s="600">
        <f t="shared" si="19"/>
        <v>0</v>
      </c>
    </row>
    <row r="309" spans="1:18">
      <c r="A309" s="583"/>
      <c r="B309" s="584"/>
      <c r="C309" s="576"/>
      <c r="D309" s="576"/>
      <c r="E309" s="3"/>
      <c r="F309" s="273"/>
      <c r="G309" s="273"/>
      <c r="H309" s="8"/>
      <c r="I309" s="8"/>
      <c r="J309" s="412">
        <f t="shared" si="16"/>
        <v>0</v>
      </c>
      <c r="K309" s="35"/>
      <c r="L309" s="8"/>
      <c r="M309" s="7"/>
      <c r="N309" s="9" t="str">
        <f t="shared" si="17"/>
        <v/>
      </c>
      <c r="O309" s="20"/>
      <c r="Q309" s="600">
        <f t="shared" si="18"/>
        <v>0</v>
      </c>
      <c r="R309" s="600">
        <f t="shared" si="19"/>
        <v>0</v>
      </c>
    </row>
    <row r="310" spans="1:18">
      <c r="A310" s="583"/>
      <c r="B310" s="584"/>
      <c r="C310" s="576"/>
      <c r="D310" s="576"/>
      <c r="E310" s="3"/>
      <c r="F310" s="273"/>
      <c r="G310" s="273"/>
      <c r="H310" s="8"/>
      <c r="I310" s="8"/>
      <c r="J310" s="412">
        <f t="shared" si="16"/>
        <v>0</v>
      </c>
      <c r="K310" s="35"/>
      <c r="L310" s="8"/>
      <c r="M310" s="7"/>
      <c r="N310" s="9" t="str">
        <f t="shared" si="17"/>
        <v/>
      </c>
      <c r="O310" s="20"/>
      <c r="Q310" s="600">
        <f t="shared" si="18"/>
        <v>0</v>
      </c>
      <c r="R310" s="600">
        <f t="shared" si="19"/>
        <v>0</v>
      </c>
    </row>
    <row r="311" spans="1:18">
      <c r="A311" s="583"/>
      <c r="B311" s="584"/>
      <c r="C311" s="576"/>
      <c r="D311" s="576"/>
      <c r="E311" s="3"/>
      <c r="F311" s="273"/>
      <c r="G311" s="273"/>
      <c r="H311" s="8"/>
      <c r="I311" s="8"/>
      <c r="J311" s="412">
        <f t="shared" si="16"/>
        <v>0</v>
      </c>
      <c r="K311" s="35"/>
      <c r="L311" s="8"/>
      <c r="M311" s="7"/>
      <c r="N311" s="9" t="str">
        <f t="shared" si="17"/>
        <v/>
      </c>
      <c r="O311" s="20"/>
      <c r="Q311" s="600">
        <f t="shared" si="18"/>
        <v>0</v>
      </c>
      <c r="R311" s="600">
        <f t="shared" si="19"/>
        <v>0</v>
      </c>
    </row>
    <row r="312" spans="1:18">
      <c r="A312" s="583"/>
      <c r="B312" s="584"/>
      <c r="C312" s="576"/>
      <c r="D312" s="576"/>
      <c r="E312" s="3"/>
      <c r="F312" s="273"/>
      <c r="G312" s="273"/>
      <c r="H312" s="8"/>
      <c r="I312" s="8"/>
      <c r="J312" s="412">
        <f t="shared" si="16"/>
        <v>0</v>
      </c>
      <c r="K312" s="35"/>
      <c r="L312" s="8"/>
      <c r="M312" s="7"/>
      <c r="N312" s="9" t="str">
        <f t="shared" si="17"/>
        <v/>
      </c>
      <c r="O312" s="20"/>
      <c r="Q312" s="600">
        <f t="shared" si="18"/>
        <v>0</v>
      </c>
      <c r="R312" s="600">
        <f t="shared" si="19"/>
        <v>0</v>
      </c>
    </row>
    <row r="313" spans="1:18">
      <c r="A313" s="583"/>
      <c r="B313" s="584"/>
      <c r="C313" s="576"/>
      <c r="D313" s="576"/>
      <c r="E313" s="3"/>
      <c r="F313" s="273"/>
      <c r="G313" s="273"/>
      <c r="H313" s="8"/>
      <c r="I313" s="8"/>
      <c r="J313" s="412">
        <f t="shared" si="16"/>
        <v>0</v>
      </c>
      <c r="K313" s="35"/>
      <c r="L313" s="8"/>
      <c r="M313" s="7"/>
      <c r="N313" s="9" t="str">
        <f t="shared" si="17"/>
        <v/>
      </c>
      <c r="O313" s="20"/>
      <c r="Q313" s="600">
        <f t="shared" si="18"/>
        <v>0</v>
      </c>
      <c r="R313" s="600">
        <f t="shared" si="19"/>
        <v>0</v>
      </c>
    </row>
    <row r="314" spans="1:18">
      <c r="A314" s="583"/>
      <c r="B314" s="584"/>
      <c r="C314" s="576"/>
      <c r="D314" s="576"/>
      <c r="E314" s="3"/>
      <c r="F314" s="273"/>
      <c r="G314" s="273"/>
      <c r="H314" s="8"/>
      <c r="I314" s="8"/>
      <c r="J314" s="412">
        <f t="shared" si="16"/>
        <v>0</v>
      </c>
      <c r="K314" s="35"/>
      <c r="L314" s="8"/>
      <c r="M314" s="7"/>
      <c r="N314" s="9" t="str">
        <f t="shared" si="17"/>
        <v/>
      </c>
      <c r="O314" s="20"/>
      <c r="Q314" s="600">
        <f t="shared" si="18"/>
        <v>0</v>
      </c>
      <c r="R314" s="600">
        <f t="shared" si="19"/>
        <v>0</v>
      </c>
    </row>
    <row r="315" spans="1:18">
      <c r="A315" s="583"/>
      <c r="B315" s="584"/>
      <c r="C315" s="576"/>
      <c r="D315" s="576"/>
      <c r="E315" s="3"/>
      <c r="F315" s="273"/>
      <c r="G315" s="273"/>
      <c r="H315" s="8"/>
      <c r="I315" s="8"/>
      <c r="J315" s="412">
        <f t="shared" si="16"/>
        <v>0</v>
      </c>
      <c r="K315" s="35"/>
      <c r="L315" s="8"/>
      <c r="M315" s="7"/>
      <c r="N315" s="9" t="str">
        <f t="shared" si="17"/>
        <v/>
      </c>
      <c r="O315" s="20"/>
      <c r="Q315" s="600">
        <f t="shared" si="18"/>
        <v>0</v>
      </c>
      <c r="R315" s="600">
        <f t="shared" si="19"/>
        <v>0</v>
      </c>
    </row>
    <row r="316" spans="1:18">
      <c r="A316" s="583"/>
      <c r="B316" s="584"/>
      <c r="C316" s="576"/>
      <c r="D316" s="576"/>
      <c r="E316" s="3"/>
      <c r="F316" s="273"/>
      <c r="G316" s="273"/>
      <c r="H316" s="8"/>
      <c r="I316" s="8"/>
      <c r="J316" s="412">
        <f t="shared" si="16"/>
        <v>0</v>
      </c>
      <c r="K316" s="35"/>
      <c r="L316" s="8"/>
      <c r="M316" s="7"/>
      <c r="N316" s="9" t="str">
        <f t="shared" si="17"/>
        <v/>
      </c>
      <c r="O316" s="20"/>
      <c r="Q316" s="600">
        <f t="shared" si="18"/>
        <v>0</v>
      </c>
      <c r="R316" s="600">
        <f t="shared" si="19"/>
        <v>0</v>
      </c>
    </row>
    <row r="317" spans="1:18">
      <c r="A317" s="583"/>
      <c r="B317" s="584"/>
      <c r="C317" s="576"/>
      <c r="D317" s="576"/>
      <c r="E317" s="3"/>
      <c r="F317" s="273"/>
      <c r="G317" s="273"/>
      <c r="H317" s="8"/>
      <c r="I317" s="8"/>
      <c r="J317" s="412">
        <f t="shared" si="16"/>
        <v>0</v>
      </c>
      <c r="K317" s="35"/>
      <c r="L317" s="8"/>
      <c r="M317" s="7"/>
      <c r="N317" s="9" t="str">
        <f t="shared" si="17"/>
        <v/>
      </c>
      <c r="O317" s="20"/>
      <c r="Q317" s="600">
        <f t="shared" si="18"/>
        <v>0</v>
      </c>
      <c r="R317" s="600">
        <f t="shared" si="19"/>
        <v>0</v>
      </c>
    </row>
    <row r="318" spans="1:18">
      <c r="A318" s="583"/>
      <c r="B318" s="584"/>
      <c r="C318" s="576"/>
      <c r="D318" s="576"/>
      <c r="E318" s="3"/>
      <c r="F318" s="273"/>
      <c r="G318" s="273"/>
      <c r="H318" s="8"/>
      <c r="I318" s="8"/>
      <c r="J318" s="412">
        <f t="shared" si="16"/>
        <v>0</v>
      </c>
      <c r="K318" s="35"/>
      <c r="L318" s="8"/>
      <c r="M318" s="7"/>
      <c r="N318" s="9" t="str">
        <f t="shared" si="17"/>
        <v/>
      </c>
      <c r="O318" s="20"/>
      <c r="Q318" s="600">
        <f t="shared" si="18"/>
        <v>0</v>
      </c>
      <c r="R318" s="600">
        <f t="shared" si="19"/>
        <v>0</v>
      </c>
    </row>
    <row r="319" spans="1:18">
      <c r="A319" s="583"/>
      <c r="B319" s="584"/>
      <c r="C319" s="576"/>
      <c r="D319" s="576"/>
      <c r="E319" s="3"/>
      <c r="F319" s="273"/>
      <c r="G319" s="273"/>
      <c r="H319" s="8"/>
      <c r="I319" s="8"/>
      <c r="J319" s="412">
        <f t="shared" si="16"/>
        <v>0</v>
      </c>
      <c r="K319" s="35"/>
      <c r="L319" s="8"/>
      <c r="M319" s="7"/>
      <c r="N319" s="9" t="str">
        <f t="shared" si="17"/>
        <v/>
      </c>
      <c r="O319" s="20"/>
      <c r="Q319" s="600">
        <f t="shared" si="18"/>
        <v>0</v>
      </c>
      <c r="R319" s="600">
        <f t="shared" si="19"/>
        <v>0</v>
      </c>
    </row>
    <row r="320" spans="1:18">
      <c r="A320" s="583"/>
      <c r="B320" s="584"/>
      <c r="C320" s="576"/>
      <c r="D320" s="576"/>
      <c r="E320" s="3"/>
      <c r="F320" s="273"/>
      <c r="G320" s="273"/>
      <c r="H320" s="8"/>
      <c r="I320" s="8"/>
      <c r="J320" s="412">
        <f t="shared" si="16"/>
        <v>0</v>
      </c>
      <c r="K320" s="35"/>
      <c r="L320" s="8"/>
      <c r="M320" s="7"/>
      <c r="N320" s="9" t="str">
        <f t="shared" si="17"/>
        <v/>
      </c>
      <c r="O320" s="20"/>
      <c r="Q320" s="600">
        <f t="shared" si="18"/>
        <v>0</v>
      </c>
      <c r="R320" s="600">
        <f t="shared" si="19"/>
        <v>0</v>
      </c>
    </row>
    <row r="321" spans="1:18">
      <c r="A321" s="583"/>
      <c r="B321" s="584"/>
      <c r="C321" s="576"/>
      <c r="D321" s="576"/>
      <c r="E321" s="3"/>
      <c r="F321" s="273"/>
      <c r="G321" s="273"/>
      <c r="H321" s="8"/>
      <c r="I321" s="8"/>
      <c r="J321" s="412">
        <f t="shared" si="16"/>
        <v>0</v>
      </c>
      <c r="K321" s="35"/>
      <c r="L321" s="8"/>
      <c r="M321" s="7"/>
      <c r="N321" s="9" t="str">
        <f t="shared" si="17"/>
        <v/>
      </c>
      <c r="O321" s="20"/>
      <c r="Q321" s="600">
        <f t="shared" si="18"/>
        <v>0</v>
      </c>
      <c r="R321" s="600">
        <f t="shared" si="19"/>
        <v>0</v>
      </c>
    </row>
    <row r="322" spans="1:18">
      <c r="A322" s="583"/>
      <c r="B322" s="584"/>
      <c r="C322" s="576"/>
      <c r="D322" s="576"/>
      <c r="E322" s="3"/>
      <c r="F322" s="273"/>
      <c r="G322" s="273"/>
      <c r="H322" s="8"/>
      <c r="I322" s="8"/>
      <c r="J322" s="412">
        <f t="shared" si="16"/>
        <v>0</v>
      </c>
      <c r="K322" s="35"/>
      <c r="L322" s="8"/>
      <c r="M322" s="7"/>
      <c r="N322" s="9" t="str">
        <f t="shared" si="17"/>
        <v/>
      </c>
      <c r="O322" s="20"/>
      <c r="Q322" s="600">
        <f t="shared" si="18"/>
        <v>0</v>
      </c>
      <c r="R322" s="600">
        <f t="shared" si="19"/>
        <v>0</v>
      </c>
    </row>
    <row r="323" spans="1:18">
      <c r="A323" s="583"/>
      <c r="B323" s="584"/>
      <c r="C323" s="576"/>
      <c r="D323" s="576"/>
      <c r="E323" s="25"/>
      <c r="F323" s="273"/>
      <c r="G323" s="273"/>
      <c r="H323" s="8"/>
      <c r="I323" s="8"/>
      <c r="J323" s="412">
        <f t="shared" si="16"/>
        <v>0</v>
      </c>
      <c r="K323" s="35"/>
      <c r="L323" s="8"/>
      <c r="M323" s="7"/>
      <c r="N323" s="9" t="str">
        <f t="shared" si="17"/>
        <v/>
      </c>
      <c r="O323" s="20"/>
      <c r="Q323" s="600">
        <f t="shared" si="18"/>
        <v>0</v>
      </c>
      <c r="R323" s="600">
        <f t="shared" si="19"/>
        <v>0</v>
      </c>
    </row>
    <row r="324" spans="1:18">
      <c r="A324" s="583"/>
      <c r="B324" s="584"/>
      <c r="C324" s="576"/>
      <c r="D324" s="576"/>
      <c r="E324" s="25"/>
      <c r="F324" s="273"/>
      <c r="G324" s="273"/>
      <c r="H324" s="8"/>
      <c r="I324" s="8"/>
      <c r="J324" s="412">
        <f t="shared" si="16"/>
        <v>0</v>
      </c>
      <c r="K324" s="35"/>
      <c r="L324" s="8"/>
      <c r="M324" s="7"/>
      <c r="N324" s="9" t="str">
        <f t="shared" si="17"/>
        <v/>
      </c>
      <c r="O324" s="20"/>
      <c r="Q324" s="600">
        <f t="shared" si="18"/>
        <v>0</v>
      </c>
      <c r="R324" s="600">
        <f t="shared" si="19"/>
        <v>0</v>
      </c>
    </row>
    <row r="325" spans="1:18">
      <c r="A325" s="583"/>
      <c r="B325" s="584"/>
      <c r="C325" s="576"/>
      <c r="D325" s="576"/>
      <c r="E325" s="25"/>
      <c r="F325" s="273"/>
      <c r="G325" s="273"/>
      <c r="H325" s="8"/>
      <c r="I325" s="8"/>
      <c r="J325" s="412">
        <f t="shared" si="16"/>
        <v>0</v>
      </c>
      <c r="K325" s="35"/>
      <c r="L325" s="8"/>
      <c r="M325" s="7"/>
      <c r="N325" s="9" t="str">
        <f t="shared" si="17"/>
        <v/>
      </c>
      <c r="O325" s="20"/>
      <c r="Q325" s="600">
        <f t="shared" si="18"/>
        <v>0</v>
      </c>
      <c r="R325" s="600">
        <f t="shared" si="19"/>
        <v>0</v>
      </c>
    </row>
    <row r="326" spans="1:18">
      <c r="A326" s="583"/>
      <c r="B326" s="584"/>
      <c r="C326" s="576"/>
      <c r="D326" s="576"/>
      <c r="E326" s="25"/>
      <c r="F326" s="273"/>
      <c r="G326" s="273"/>
      <c r="H326" s="8"/>
      <c r="I326" s="8"/>
      <c r="J326" s="412">
        <f t="shared" ref="J326:J353" si="20">(+F326*G326+H326*I326)*E326</f>
        <v>0</v>
      </c>
      <c r="K326" s="35"/>
      <c r="L326" s="8"/>
      <c r="M326" s="7"/>
      <c r="N326" s="9" t="str">
        <f t="shared" ref="N326:N353" si="21">IF(K326=0,"",L326*M326*E326)</f>
        <v/>
      </c>
      <c r="O326" s="20"/>
      <c r="Q326" s="600">
        <f t="shared" ref="Q326:Q353" si="22">F326*G326*E326</f>
        <v>0</v>
      </c>
      <c r="R326" s="600">
        <f t="shared" ref="R326:R353" si="23">H326*E326*I326</f>
        <v>0</v>
      </c>
    </row>
    <row r="327" spans="1:18">
      <c r="A327" s="583"/>
      <c r="B327" s="584"/>
      <c r="C327" s="576"/>
      <c r="D327" s="576"/>
      <c r="E327" s="25"/>
      <c r="F327" s="273"/>
      <c r="G327" s="273"/>
      <c r="H327" s="8"/>
      <c r="I327" s="8"/>
      <c r="J327" s="412">
        <f t="shared" si="20"/>
        <v>0</v>
      </c>
      <c r="K327" s="35"/>
      <c r="L327" s="8"/>
      <c r="M327" s="7"/>
      <c r="N327" s="9" t="str">
        <f t="shared" si="21"/>
        <v/>
      </c>
      <c r="O327" s="20"/>
      <c r="Q327" s="600">
        <f t="shared" si="22"/>
        <v>0</v>
      </c>
      <c r="R327" s="600">
        <f t="shared" si="23"/>
        <v>0</v>
      </c>
    </row>
    <row r="328" spans="1:18">
      <c r="A328" s="583"/>
      <c r="B328" s="584"/>
      <c r="C328" s="576"/>
      <c r="D328" s="576"/>
      <c r="E328" s="25"/>
      <c r="F328" s="273"/>
      <c r="G328" s="273"/>
      <c r="H328" s="8"/>
      <c r="I328" s="8"/>
      <c r="J328" s="412">
        <f t="shared" si="20"/>
        <v>0</v>
      </c>
      <c r="K328" s="35"/>
      <c r="L328" s="8"/>
      <c r="M328" s="7"/>
      <c r="N328" s="9" t="str">
        <f t="shared" si="21"/>
        <v/>
      </c>
      <c r="O328" s="20"/>
      <c r="Q328" s="600">
        <f t="shared" si="22"/>
        <v>0</v>
      </c>
      <c r="R328" s="600">
        <f t="shared" si="23"/>
        <v>0</v>
      </c>
    </row>
    <row r="329" spans="1:18">
      <c r="A329" s="583"/>
      <c r="B329" s="584"/>
      <c r="C329" s="576"/>
      <c r="D329" s="576"/>
      <c r="E329" s="25"/>
      <c r="F329" s="273"/>
      <c r="G329" s="273"/>
      <c r="H329" s="8"/>
      <c r="I329" s="8"/>
      <c r="J329" s="412">
        <f t="shared" si="20"/>
        <v>0</v>
      </c>
      <c r="K329" s="35"/>
      <c r="L329" s="8"/>
      <c r="M329" s="7"/>
      <c r="N329" s="9" t="str">
        <f t="shared" si="21"/>
        <v/>
      </c>
      <c r="O329" s="20"/>
      <c r="Q329" s="600">
        <f t="shared" si="22"/>
        <v>0</v>
      </c>
      <c r="R329" s="600">
        <f t="shared" si="23"/>
        <v>0</v>
      </c>
    </row>
    <row r="330" spans="1:18">
      <c r="A330" s="583"/>
      <c r="B330" s="584"/>
      <c r="C330" s="576"/>
      <c r="D330" s="576"/>
      <c r="E330" s="25"/>
      <c r="F330" s="273"/>
      <c r="G330" s="273"/>
      <c r="H330" s="8"/>
      <c r="I330" s="8"/>
      <c r="J330" s="412">
        <f t="shared" si="20"/>
        <v>0</v>
      </c>
      <c r="K330" s="35"/>
      <c r="L330" s="8"/>
      <c r="M330" s="7"/>
      <c r="N330" s="9" t="str">
        <f t="shared" si="21"/>
        <v/>
      </c>
      <c r="O330" s="20"/>
      <c r="Q330" s="600">
        <f t="shared" si="22"/>
        <v>0</v>
      </c>
      <c r="R330" s="600">
        <f t="shared" si="23"/>
        <v>0</v>
      </c>
    </row>
    <row r="331" spans="1:18">
      <c r="A331" s="583"/>
      <c r="B331" s="584"/>
      <c r="C331" s="576"/>
      <c r="D331" s="576"/>
      <c r="E331" s="25"/>
      <c r="F331" s="273"/>
      <c r="G331" s="273"/>
      <c r="H331" s="8"/>
      <c r="I331" s="8"/>
      <c r="J331" s="412">
        <f t="shared" si="20"/>
        <v>0</v>
      </c>
      <c r="K331" s="35"/>
      <c r="L331" s="8"/>
      <c r="M331" s="7"/>
      <c r="N331" s="9" t="str">
        <f t="shared" si="21"/>
        <v/>
      </c>
      <c r="O331" s="20"/>
      <c r="Q331" s="600">
        <f t="shared" si="22"/>
        <v>0</v>
      </c>
      <c r="R331" s="600">
        <f t="shared" si="23"/>
        <v>0</v>
      </c>
    </row>
    <row r="332" spans="1:18">
      <c r="A332" s="583"/>
      <c r="B332" s="584"/>
      <c r="C332" s="576"/>
      <c r="D332" s="576"/>
      <c r="E332" s="25"/>
      <c r="F332" s="273"/>
      <c r="G332" s="273"/>
      <c r="H332" s="8"/>
      <c r="I332" s="8"/>
      <c r="J332" s="412">
        <f t="shared" si="20"/>
        <v>0</v>
      </c>
      <c r="K332" s="35"/>
      <c r="L332" s="8"/>
      <c r="M332" s="7"/>
      <c r="N332" s="9" t="str">
        <f t="shared" si="21"/>
        <v/>
      </c>
      <c r="O332" s="20"/>
      <c r="Q332" s="600">
        <f t="shared" si="22"/>
        <v>0</v>
      </c>
      <c r="R332" s="600">
        <f t="shared" si="23"/>
        <v>0</v>
      </c>
    </row>
    <row r="333" spans="1:18">
      <c r="A333" s="583"/>
      <c r="B333" s="584"/>
      <c r="C333" s="576"/>
      <c r="D333" s="576"/>
      <c r="E333" s="25"/>
      <c r="F333" s="273"/>
      <c r="G333" s="273"/>
      <c r="H333" s="8"/>
      <c r="I333" s="8"/>
      <c r="J333" s="412">
        <f t="shared" si="20"/>
        <v>0</v>
      </c>
      <c r="K333" s="35"/>
      <c r="L333" s="8"/>
      <c r="M333" s="7"/>
      <c r="N333" s="9" t="str">
        <f t="shared" si="21"/>
        <v/>
      </c>
      <c r="O333" s="20"/>
      <c r="Q333" s="600">
        <f t="shared" si="22"/>
        <v>0</v>
      </c>
      <c r="R333" s="600">
        <f t="shared" si="23"/>
        <v>0</v>
      </c>
    </row>
    <row r="334" spans="1:18">
      <c r="A334" s="583"/>
      <c r="B334" s="584"/>
      <c r="C334" s="576"/>
      <c r="D334" s="576"/>
      <c r="E334" s="25"/>
      <c r="F334" s="273"/>
      <c r="G334" s="273"/>
      <c r="H334" s="8"/>
      <c r="I334" s="8"/>
      <c r="J334" s="412">
        <f t="shared" si="20"/>
        <v>0</v>
      </c>
      <c r="K334" s="35"/>
      <c r="L334" s="8"/>
      <c r="M334" s="7"/>
      <c r="N334" s="9" t="str">
        <f t="shared" si="21"/>
        <v/>
      </c>
      <c r="O334" s="20"/>
      <c r="Q334" s="600">
        <f t="shared" si="22"/>
        <v>0</v>
      </c>
      <c r="R334" s="600">
        <f t="shared" si="23"/>
        <v>0</v>
      </c>
    </row>
    <row r="335" spans="1:18">
      <c r="A335" s="583"/>
      <c r="B335" s="584"/>
      <c r="C335" s="576"/>
      <c r="D335" s="576"/>
      <c r="E335" s="25"/>
      <c r="F335" s="273"/>
      <c r="G335" s="273"/>
      <c r="H335" s="8"/>
      <c r="I335" s="8"/>
      <c r="J335" s="412">
        <f t="shared" si="20"/>
        <v>0</v>
      </c>
      <c r="K335" s="35"/>
      <c r="L335" s="8"/>
      <c r="M335" s="7"/>
      <c r="N335" s="9" t="str">
        <f t="shared" si="21"/>
        <v/>
      </c>
      <c r="O335" s="20"/>
      <c r="Q335" s="600">
        <f t="shared" si="22"/>
        <v>0</v>
      </c>
      <c r="R335" s="600">
        <f t="shared" si="23"/>
        <v>0</v>
      </c>
    </row>
    <row r="336" spans="1:18">
      <c r="A336" s="583"/>
      <c r="B336" s="584"/>
      <c r="C336" s="576"/>
      <c r="D336" s="576"/>
      <c r="E336" s="25"/>
      <c r="F336" s="273"/>
      <c r="G336" s="273"/>
      <c r="H336" s="8"/>
      <c r="I336" s="8"/>
      <c r="J336" s="412">
        <f t="shared" si="20"/>
        <v>0</v>
      </c>
      <c r="K336" s="35"/>
      <c r="L336" s="8"/>
      <c r="M336" s="7"/>
      <c r="N336" s="9" t="str">
        <f t="shared" si="21"/>
        <v/>
      </c>
      <c r="O336" s="20"/>
      <c r="Q336" s="600">
        <f t="shared" si="22"/>
        <v>0</v>
      </c>
      <c r="R336" s="600">
        <f t="shared" si="23"/>
        <v>0</v>
      </c>
    </row>
    <row r="337" spans="1:18">
      <c r="A337" s="583"/>
      <c r="B337" s="584"/>
      <c r="C337" s="576"/>
      <c r="D337" s="576"/>
      <c r="E337" s="25"/>
      <c r="F337" s="273"/>
      <c r="G337" s="273"/>
      <c r="H337" s="8"/>
      <c r="I337" s="8"/>
      <c r="J337" s="412">
        <f t="shared" si="20"/>
        <v>0</v>
      </c>
      <c r="K337" s="35"/>
      <c r="L337" s="8"/>
      <c r="M337" s="7"/>
      <c r="N337" s="9" t="str">
        <f t="shared" si="21"/>
        <v/>
      </c>
      <c r="O337" s="20"/>
      <c r="Q337" s="600">
        <f t="shared" si="22"/>
        <v>0</v>
      </c>
      <c r="R337" s="600">
        <f t="shared" si="23"/>
        <v>0</v>
      </c>
    </row>
    <row r="338" spans="1:18">
      <c r="A338" s="583"/>
      <c r="B338" s="584"/>
      <c r="C338" s="576"/>
      <c r="D338" s="576"/>
      <c r="E338" s="25"/>
      <c r="F338" s="273"/>
      <c r="G338" s="273"/>
      <c r="H338" s="8"/>
      <c r="I338" s="8"/>
      <c r="J338" s="412">
        <f t="shared" si="20"/>
        <v>0</v>
      </c>
      <c r="K338" s="35"/>
      <c r="L338" s="8"/>
      <c r="M338" s="7"/>
      <c r="N338" s="9" t="str">
        <f t="shared" si="21"/>
        <v/>
      </c>
      <c r="O338" s="20"/>
      <c r="Q338" s="600">
        <f t="shared" si="22"/>
        <v>0</v>
      </c>
      <c r="R338" s="600">
        <f t="shared" si="23"/>
        <v>0</v>
      </c>
    </row>
    <row r="339" spans="1:18">
      <c r="A339" s="583"/>
      <c r="B339" s="584"/>
      <c r="C339" s="576"/>
      <c r="D339" s="576"/>
      <c r="E339" s="25"/>
      <c r="F339" s="273"/>
      <c r="G339" s="273"/>
      <c r="H339" s="8"/>
      <c r="I339" s="8"/>
      <c r="J339" s="412">
        <f t="shared" si="20"/>
        <v>0</v>
      </c>
      <c r="K339" s="35"/>
      <c r="L339" s="8"/>
      <c r="M339" s="7"/>
      <c r="N339" s="9" t="str">
        <f t="shared" si="21"/>
        <v/>
      </c>
      <c r="O339" s="20"/>
      <c r="Q339" s="600">
        <f t="shared" si="22"/>
        <v>0</v>
      </c>
      <c r="R339" s="600">
        <f t="shared" si="23"/>
        <v>0</v>
      </c>
    </row>
    <row r="340" spans="1:18">
      <c r="A340" s="583"/>
      <c r="B340" s="584"/>
      <c r="C340" s="576"/>
      <c r="D340" s="576"/>
      <c r="E340" s="25"/>
      <c r="F340" s="273"/>
      <c r="G340" s="273"/>
      <c r="H340" s="8"/>
      <c r="I340" s="8"/>
      <c r="J340" s="412">
        <f t="shared" si="20"/>
        <v>0</v>
      </c>
      <c r="K340" s="35"/>
      <c r="L340" s="8"/>
      <c r="M340" s="7"/>
      <c r="N340" s="9" t="str">
        <f t="shared" si="21"/>
        <v/>
      </c>
      <c r="O340" s="20"/>
      <c r="Q340" s="600">
        <f t="shared" si="22"/>
        <v>0</v>
      </c>
      <c r="R340" s="600">
        <f t="shared" si="23"/>
        <v>0</v>
      </c>
    </row>
    <row r="341" spans="1:18">
      <c r="A341" s="583"/>
      <c r="B341" s="584"/>
      <c r="C341" s="576"/>
      <c r="D341" s="576"/>
      <c r="E341" s="25"/>
      <c r="F341" s="273"/>
      <c r="G341" s="273"/>
      <c r="H341" s="8"/>
      <c r="I341" s="8"/>
      <c r="J341" s="412">
        <f t="shared" si="20"/>
        <v>0</v>
      </c>
      <c r="K341" s="35"/>
      <c r="L341" s="8"/>
      <c r="M341" s="7"/>
      <c r="N341" s="9" t="str">
        <f t="shared" si="21"/>
        <v/>
      </c>
      <c r="O341" s="20"/>
      <c r="Q341" s="600">
        <f t="shared" si="22"/>
        <v>0</v>
      </c>
      <c r="R341" s="600">
        <f t="shared" si="23"/>
        <v>0</v>
      </c>
    </row>
    <row r="342" spans="1:18">
      <c r="A342" s="583"/>
      <c r="B342" s="584"/>
      <c r="C342" s="576"/>
      <c r="D342" s="576"/>
      <c r="E342" s="25"/>
      <c r="F342" s="273"/>
      <c r="G342" s="273"/>
      <c r="H342" s="8"/>
      <c r="I342" s="8"/>
      <c r="J342" s="412">
        <f t="shared" si="20"/>
        <v>0</v>
      </c>
      <c r="K342" s="35"/>
      <c r="L342" s="8"/>
      <c r="M342" s="7"/>
      <c r="N342" s="9" t="str">
        <f t="shared" si="21"/>
        <v/>
      </c>
      <c r="O342" s="20"/>
      <c r="Q342" s="600">
        <f t="shared" si="22"/>
        <v>0</v>
      </c>
      <c r="R342" s="600">
        <f t="shared" si="23"/>
        <v>0</v>
      </c>
    </row>
    <row r="343" spans="1:18">
      <c r="A343" s="583"/>
      <c r="B343" s="584"/>
      <c r="C343" s="576"/>
      <c r="D343" s="576"/>
      <c r="E343" s="25"/>
      <c r="F343" s="273"/>
      <c r="G343" s="273"/>
      <c r="H343" s="8"/>
      <c r="I343" s="8"/>
      <c r="J343" s="412">
        <f t="shared" si="20"/>
        <v>0</v>
      </c>
      <c r="K343" s="35"/>
      <c r="L343" s="8"/>
      <c r="M343" s="7"/>
      <c r="N343" s="9" t="str">
        <f t="shared" si="21"/>
        <v/>
      </c>
      <c r="O343" s="20"/>
      <c r="Q343" s="600">
        <f t="shared" si="22"/>
        <v>0</v>
      </c>
      <c r="R343" s="600">
        <f t="shared" si="23"/>
        <v>0</v>
      </c>
    </row>
    <row r="344" spans="1:18">
      <c r="A344" s="583"/>
      <c r="B344" s="584"/>
      <c r="C344" s="576"/>
      <c r="D344" s="576"/>
      <c r="E344" s="25"/>
      <c r="F344" s="273"/>
      <c r="G344" s="273"/>
      <c r="H344" s="8"/>
      <c r="I344" s="8"/>
      <c r="J344" s="412">
        <f t="shared" si="20"/>
        <v>0</v>
      </c>
      <c r="K344" s="35"/>
      <c r="L344" s="8"/>
      <c r="M344" s="7"/>
      <c r="N344" s="9" t="str">
        <f t="shared" si="21"/>
        <v/>
      </c>
      <c r="O344" s="20"/>
      <c r="Q344" s="600">
        <f t="shared" si="22"/>
        <v>0</v>
      </c>
      <c r="R344" s="600">
        <f t="shared" si="23"/>
        <v>0</v>
      </c>
    </row>
    <row r="345" spans="1:18">
      <c r="A345" s="583"/>
      <c r="B345" s="584"/>
      <c r="C345" s="576"/>
      <c r="D345" s="576"/>
      <c r="E345" s="25"/>
      <c r="F345" s="273"/>
      <c r="G345" s="273"/>
      <c r="H345" s="8"/>
      <c r="I345" s="8"/>
      <c r="J345" s="412">
        <f t="shared" si="20"/>
        <v>0</v>
      </c>
      <c r="K345" s="35"/>
      <c r="L345" s="8"/>
      <c r="M345" s="7"/>
      <c r="N345" s="9" t="str">
        <f t="shared" si="21"/>
        <v/>
      </c>
      <c r="O345" s="20"/>
      <c r="Q345" s="600">
        <f t="shared" si="22"/>
        <v>0</v>
      </c>
      <c r="R345" s="600">
        <f t="shared" si="23"/>
        <v>0</v>
      </c>
    </row>
    <row r="346" spans="1:18">
      <c r="A346" s="583"/>
      <c r="B346" s="584"/>
      <c r="C346" s="576"/>
      <c r="D346" s="576"/>
      <c r="E346" s="25"/>
      <c r="F346" s="273"/>
      <c r="G346" s="273"/>
      <c r="H346" s="8"/>
      <c r="I346" s="8"/>
      <c r="J346" s="412">
        <f t="shared" si="20"/>
        <v>0</v>
      </c>
      <c r="K346" s="35"/>
      <c r="L346" s="8"/>
      <c r="M346" s="7"/>
      <c r="N346" s="9" t="str">
        <f t="shared" si="21"/>
        <v/>
      </c>
      <c r="O346" s="20"/>
      <c r="Q346" s="600">
        <f t="shared" si="22"/>
        <v>0</v>
      </c>
      <c r="R346" s="600">
        <f t="shared" si="23"/>
        <v>0</v>
      </c>
    </row>
    <row r="347" spans="1:18">
      <c r="A347" s="583"/>
      <c r="B347" s="584"/>
      <c r="C347" s="576"/>
      <c r="D347" s="576"/>
      <c r="E347" s="25"/>
      <c r="F347" s="273"/>
      <c r="G347" s="273"/>
      <c r="H347" s="8"/>
      <c r="I347" s="8"/>
      <c r="J347" s="412">
        <f t="shared" si="20"/>
        <v>0</v>
      </c>
      <c r="K347" s="35"/>
      <c r="L347" s="8"/>
      <c r="M347" s="7"/>
      <c r="N347" s="9" t="str">
        <f t="shared" si="21"/>
        <v/>
      </c>
      <c r="O347" s="20"/>
      <c r="Q347" s="600">
        <f t="shared" si="22"/>
        <v>0</v>
      </c>
      <c r="R347" s="600">
        <f t="shared" si="23"/>
        <v>0</v>
      </c>
    </row>
    <row r="348" spans="1:18">
      <c r="A348" s="583"/>
      <c r="B348" s="584"/>
      <c r="C348" s="576"/>
      <c r="D348" s="576"/>
      <c r="E348" s="25"/>
      <c r="F348" s="273"/>
      <c r="G348" s="273"/>
      <c r="H348" s="8"/>
      <c r="I348" s="8"/>
      <c r="J348" s="412">
        <f t="shared" si="20"/>
        <v>0</v>
      </c>
      <c r="K348" s="35"/>
      <c r="L348" s="8"/>
      <c r="M348" s="7"/>
      <c r="N348" s="9" t="str">
        <f t="shared" si="21"/>
        <v/>
      </c>
      <c r="O348" s="20"/>
      <c r="Q348" s="600">
        <f t="shared" si="22"/>
        <v>0</v>
      </c>
      <c r="R348" s="600">
        <f t="shared" si="23"/>
        <v>0</v>
      </c>
    </row>
    <row r="349" spans="1:18">
      <c r="A349" s="583"/>
      <c r="B349" s="584"/>
      <c r="C349" s="576"/>
      <c r="D349" s="576"/>
      <c r="E349" s="25"/>
      <c r="F349" s="273"/>
      <c r="G349" s="273"/>
      <c r="H349" s="8"/>
      <c r="I349" s="8"/>
      <c r="J349" s="412">
        <f t="shared" si="20"/>
        <v>0</v>
      </c>
      <c r="K349" s="35"/>
      <c r="L349" s="8"/>
      <c r="M349" s="7"/>
      <c r="N349" s="9" t="str">
        <f t="shared" si="21"/>
        <v/>
      </c>
      <c r="O349" s="20"/>
      <c r="Q349" s="600">
        <f t="shared" si="22"/>
        <v>0</v>
      </c>
      <c r="R349" s="600">
        <f t="shared" si="23"/>
        <v>0</v>
      </c>
    </row>
    <row r="350" spans="1:18">
      <c r="A350" s="583"/>
      <c r="B350" s="584"/>
      <c r="C350" s="576"/>
      <c r="D350" s="576"/>
      <c r="E350" s="25"/>
      <c r="F350" s="273"/>
      <c r="G350" s="273"/>
      <c r="H350" s="8"/>
      <c r="I350" s="8"/>
      <c r="J350" s="412">
        <f t="shared" si="20"/>
        <v>0</v>
      </c>
      <c r="K350" s="35"/>
      <c r="L350" s="8"/>
      <c r="M350" s="7"/>
      <c r="N350" s="9" t="str">
        <f t="shared" si="21"/>
        <v/>
      </c>
      <c r="O350" s="20"/>
      <c r="Q350" s="600">
        <f t="shared" si="22"/>
        <v>0</v>
      </c>
      <c r="R350" s="600">
        <f t="shared" si="23"/>
        <v>0</v>
      </c>
    </row>
    <row r="351" spans="1:18">
      <c r="A351" s="583"/>
      <c r="B351" s="584"/>
      <c r="C351" s="576"/>
      <c r="D351" s="576"/>
      <c r="E351" s="25"/>
      <c r="F351" s="273"/>
      <c r="G351" s="273"/>
      <c r="H351" s="8"/>
      <c r="I351" s="8"/>
      <c r="J351" s="412">
        <f t="shared" si="20"/>
        <v>0</v>
      </c>
      <c r="K351" s="35"/>
      <c r="L351" s="8"/>
      <c r="M351" s="7"/>
      <c r="N351" s="9" t="str">
        <f t="shared" si="21"/>
        <v/>
      </c>
      <c r="O351" s="20"/>
      <c r="Q351" s="600">
        <f t="shared" si="22"/>
        <v>0</v>
      </c>
      <c r="R351" s="600">
        <f t="shared" si="23"/>
        <v>0</v>
      </c>
    </row>
    <row r="352" spans="1:18">
      <c r="A352" s="583"/>
      <c r="B352" s="584"/>
      <c r="C352" s="576"/>
      <c r="D352" s="576"/>
      <c r="E352" s="25"/>
      <c r="F352" s="273"/>
      <c r="G352" s="273"/>
      <c r="H352" s="8"/>
      <c r="I352" s="8"/>
      <c r="J352" s="412">
        <f t="shared" si="20"/>
        <v>0</v>
      </c>
      <c r="K352" s="35"/>
      <c r="L352" s="8"/>
      <c r="M352" s="7"/>
      <c r="N352" s="9" t="str">
        <f t="shared" si="21"/>
        <v/>
      </c>
      <c r="O352" s="20"/>
      <c r="Q352" s="600">
        <f t="shared" si="22"/>
        <v>0</v>
      </c>
      <c r="R352" s="600">
        <f t="shared" si="23"/>
        <v>0</v>
      </c>
    </row>
    <row r="353" spans="1:18" ht="14.25" thickBot="1">
      <c r="A353" s="585"/>
      <c r="B353" s="586"/>
      <c r="C353" s="587"/>
      <c r="D353" s="587"/>
      <c r="E353" s="31"/>
      <c r="F353" s="275"/>
      <c r="G353" s="275"/>
      <c r="H353" s="33"/>
      <c r="I353" s="33"/>
      <c r="J353" s="413">
        <f t="shared" si="20"/>
        <v>0</v>
      </c>
      <c r="K353" s="30"/>
      <c r="L353" s="33"/>
      <c r="M353" s="32"/>
      <c r="N353" s="34" t="str">
        <f t="shared" si="21"/>
        <v/>
      </c>
      <c r="O353" s="21"/>
      <c r="Q353" s="600">
        <f t="shared" si="22"/>
        <v>0</v>
      </c>
      <c r="R353" s="600">
        <f t="shared" si="23"/>
        <v>0</v>
      </c>
    </row>
  </sheetData>
  <sheetProtection sheet="1" objects="1" scenarios="1" selectLockedCells="1"/>
  <mergeCells count="15">
    <mergeCell ref="A2:A4"/>
    <mergeCell ref="B2:B4"/>
    <mergeCell ref="C2:C4"/>
    <mergeCell ref="D2:D4"/>
    <mergeCell ref="E2:E4"/>
    <mergeCell ref="O2:O4"/>
    <mergeCell ref="F3:G3"/>
    <mergeCell ref="H3:I3"/>
    <mergeCell ref="J3:J4"/>
    <mergeCell ref="K3:K4"/>
    <mergeCell ref="L3:L4"/>
    <mergeCell ref="M3:M4"/>
    <mergeCell ref="N3:N4"/>
    <mergeCell ref="F2:J2"/>
    <mergeCell ref="K2:N2"/>
  </mergeCells>
  <phoneticPr fontId="14"/>
  <dataValidations count="5">
    <dataValidation type="list" allowBlank="1" showErrorMessage="1" sqref="K5:K353">
      <formula1>燃料種類</formula1>
      <formula2>0</formula2>
    </dataValidation>
    <dataValidation type="list" allowBlank="1" showErrorMessage="1" sqref="B5:B353">
      <formula1>月旬</formula1>
      <formula2>0</formula2>
    </dataValidation>
    <dataValidation type="list" allowBlank="1" showErrorMessage="1" sqref="A5:A353">
      <formula1>作業名</formula1>
      <formula2>0</formula2>
    </dataValidation>
    <dataValidation type="list" allowBlank="1" showInputMessage="1" showErrorMessage="1" sqref="C5:C353">
      <formula1>機械</formula1>
    </dataValidation>
    <dataValidation type="list" allowBlank="1" showInputMessage="1" showErrorMessage="1" sqref="D5:D353">
      <formula1>機械能力</formula1>
    </dataValidation>
  </dataValidations>
  <printOptions horizontalCentered="1"/>
  <pageMargins left="0.23622047244094491" right="0.23622047244094491" top="0.74803149606299213" bottom="0.74803149606299213" header="0.31496062992125984" footer="0.31496062992125984"/>
  <pageSetup paperSize="9" scale="74" firstPageNumber="0" fitToHeight="0" orientation="landscape" cellComments="asDisplayed" verticalDpi="300" r:id="rId1"/>
  <headerFooter alignWithMargins="0">
    <oddHeader>&amp;L&amp;D&amp;F &amp;A</oddHeader>
    <oddFooter>&amp;C&amp;14&amp;P/&amp;N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1"/>
  <sheetViews>
    <sheetView workbookViewId="0">
      <pane xSplit="1" ySplit="6" topLeftCell="B10" activePane="bottomRight" state="frozen"/>
      <selection pane="topRight" activeCell="B1" sqref="B1"/>
      <selection pane="bottomLeft" activeCell="A8" sqref="A8"/>
      <selection pane="bottomRight" activeCell="E11" sqref="E11"/>
    </sheetView>
  </sheetViews>
  <sheetFormatPr defaultRowHeight="13.5"/>
  <cols>
    <col min="1" max="1" width="9" style="306"/>
    <col min="2" max="7" width="12.625" style="306" customWidth="1"/>
    <col min="8" max="8" width="48.5" style="306" customWidth="1"/>
    <col min="9" max="9" width="9" style="306"/>
    <col min="10" max="10" width="24.125" style="306" customWidth="1"/>
    <col min="11" max="13" width="9" style="306"/>
    <col min="14" max="14" width="13.125" style="306" customWidth="1"/>
    <col min="15" max="15" width="12.625" style="306" bestFit="1" customWidth="1"/>
    <col min="16" max="16" width="13.125" style="306" bestFit="1" customWidth="1"/>
    <col min="17" max="17" width="15.5" style="306" bestFit="1" customWidth="1"/>
    <col min="18" max="16384" width="9" style="306"/>
  </cols>
  <sheetData>
    <row r="1" spans="1:17" ht="17.25">
      <c r="A1" s="310"/>
    </row>
    <row r="2" spans="1:17" ht="14.25" thickBot="1">
      <c r="A2" s="86"/>
      <c r="B2" s="603" t="s">
        <v>573</v>
      </c>
      <c r="C2" s="602"/>
      <c r="D2" s="602"/>
      <c r="E2" s="309"/>
    </row>
    <row r="3" spans="1:17" ht="14.25" thickBot="1">
      <c r="A3" s="86"/>
      <c r="B3" s="604" t="s">
        <v>570</v>
      </c>
      <c r="C3" s="605">
        <v>6</v>
      </c>
      <c r="D3" s="604" t="s">
        <v>575</v>
      </c>
      <c r="E3" s="309"/>
    </row>
    <row r="4" spans="1:17" ht="14.25" thickBot="1"/>
    <row r="5" spans="1:17" ht="18" customHeight="1">
      <c r="A5" s="505"/>
      <c r="B5" s="795" t="s">
        <v>409</v>
      </c>
      <c r="C5" s="796"/>
      <c r="D5" s="797"/>
      <c r="E5" s="798" t="s">
        <v>411</v>
      </c>
      <c r="F5" s="800" t="s">
        <v>412</v>
      </c>
      <c r="G5" s="793" t="s">
        <v>558</v>
      </c>
      <c r="H5" s="802" t="s">
        <v>581</v>
      </c>
      <c r="I5" s="307"/>
    </row>
    <row r="6" spans="1:17" ht="18" customHeight="1" thickBot="1">
      <c r="A6" s="506" t="s">
        <v>385</v>
      </c>
      <c r="B6" s="593" t="s">
        <v>556</v>
      </c>
      <c r="C6" s="594" t="s">
        <v>557</v>
      </c>
      <c r="D6" s="595" t="s">
        <v>386</v>
      </c>
      <c r="E6" s="799"/>
      <c r="F6" s="801"/>
      <c r="G6" s="794"/>
      <c r="H6" s="803"/>
      <c r="I6" s="308"/>
    </row>
    <row r="7" spans="1:17" ht="18" customHeight="1">
      <c r="A7" s="507">
        <v>1</v>
      </c>
      <c r="B7" s="533"/>
      <c r="C7" s="588"/>
      <c r="D7" s="534">
        <f>B7*C7</f>
        <v>0</v>
      </c>
      <c r="E7" s="546"/>
      <c r="F7" s="547"/>
      <c r="G7" s="629">
        <f>SUM(D7:F7)</f>
        <v>0</v>
      </c>
      <c r="H7" s="634"/>
      <c r="I7" s="309"/>
      <c r="Q7" s="89"/>
    </row>
    <row r="8" spans="1:17" ht="18" customHeight="1">
      <c r="A8" s="508">
        <v>2</v>
      </c>
      <c r="B8" s="535"/>
      <c r="C8" s="589"/>
      <c r="D8" s="536">
        <f t="shared" ref="D8:D12" si="0">B8*C8</f>
        <v>0</v>
      </c>
      <c r="E8" s="548"/>
      <c r="F8" s="549"/>
      <c r="G8" s="630">
        <f t="shared" ref="G8:G19" si="1">SUM(D8:F8)</f>
        <v>0</v>
      </c>
      <c r="H8" s="635"/>
      <c r="I8" s="309"/>
      <c r="Q8" s="89"/>
    </row>
    <row r="9" spans="1:17" ht="18" customHeight="1">
      <c r="A9" s="508">
        <v>3</v>
      </c>
      <c r="B9" s="535"/>
      <c r="C9" s="589"/>
      <c r="D9" s="536">
        <f t="shared" si="0"/>
        <v>0</v>
      </c>
      <c r="E9" s="548"/>
      <c r="F9" s="549"/>
      <c r="G9" s="630">
        <f t="shared" si="1"/>
        <v>0</v>
      </c>
      <c r="H9" s="635"/>
      <c r="I9" s="309"/>
    </row>
    <row r="10" spans="1:17" ht="18" customHeight="1">
      <c r="A10" s="508">
        <v>4</v>
      </c>
      <c r="B10" s="535"/>
      <c r="C10" s="589"/>
      <c r="D10" s="536">
        <f t="shared" si="0"/>
        <v>0</v>
      </c>
      <c r="E10" s="548"/>
      <c r="F10" s="549"/>
      <c r="G10" s="630">
        <f t="shared" si="1"/>
        <v>0</v>
      </c>
      <c r="H10" s="635"/>
      <c r="I10" s="309"/>
    </row>
    <row r="11" spans="1:17" ht="18" customHeight="1">
      <c r="A11" s="508">
        <v>5</v>
      </c>
      <c r="B11" s="535"/>
      <c r="C11" s="589"/>
      <c r="D11" s="536">
        <f t="shared" si="0"/>
        <v>0</v>
      </c>
      <c r="E11" s="548"/>
      <c r="F11" s="549"/>
      <c r="G11" s="630">
        <f t="shared" si="1"/>
        <v>0</v>
      </c>
      <c r="H11" s="635"/>
      <c r="I11" s="309"/>
    </row>
    <row r="12" spans="1:17" ht="18" customHeight="1">
      <c r="A12" s="508">
        <v>6</v>
      </c>
      <c r="B12" s="535"/>
      <c r="C12" s="589"/>
      <c r="D12" s="536">
        <f t="shared" si="0"/>
        <v>0</v>
      </c>
      <c r="E12" s="548"/>
      <c r="F12" s="549"/>
      <c r="G12" s="630">
        <f t="shared" si="1"/>
        <v>0</v>
      </c>
      <c r="H12" s="635"/>
      <c r="I12" s="309"/>
    </row>
    <row r="13" spans="1:17" ht="18" customHeight="1">
      <c r="A13" s="508">
        <v>7</v>
      </c>
      <c r="B13" s="535"/>
      <c r="C13" s="589"/>
      <c r="D13" s="537">
        <f t="shared" ref="D13:D18" si="2">B13*C13</f>
        <v>0</v>
      </c>
      <c r="E13" s="548"/>
      <c r="F13" s="549"/>
      <c r="G13" s="630">
        <f t="shared" si="1"/>
        <v>0</v>
      </c>
      <c r="H13" s="635"/>
      <c r="I13" s="309"/>
    </row>
    <row r="14" spans="1:17" ht="18" customHeight="1">
      <c r="A14" s="508">
        <v>8</v>
      </c>
      <c r="B14" s="535"/>
      <c r="C14" s="589"/>
      <c r="D14" s="537">
        <f t="shared" si="2"/>
        <v>0</v>
      </c>
      <c r="E14" s="548"/>
      <c r="F14" s="549"/>
      <c r="G14" s="630">
        <f t="shared" si="1"/>
        <v>0</v>
      </c>
      <c r="H14" s="635"/>
      <c r="I14" s="309"/>
    </row>
    <row r="15" spans="1:17" ht="18" customHeight="1">
      <c r="A15" s="508">
        <v>9</v>
      </c>
      <c r="B15" s="535"/>
      <c r="C15" s="589"/>
      <c r="D15" s="537">
        <f t="shared" si="2"/>
        <v>0</v>
      </c>
      <c r="E15" s="548"/>
      <c r="F15" s="549"/>
      <c r="G15" s="630">
        <f t="shared" si="1"/>
        <v>0</v>
      </c>
      <c r="H15" s="635"/>
      <c r="I15" s="309"/>
    </row>
    <row r="16" spans="1:17" ht="18" customHeight="1">
      <c r="A16" s="508">
        <v>10</v>
      </c>
      <c r="B16" s="535"/>
      <c r="C16" s="589"/>
      <c r="D16" s="537">
        <f t="shared" si="2"/>
        <v>0</v>
      </c>
      <c r="E16" s="548"/>
      <c r="F16" s="549"/>
      <c r="G16" s="630">
        <f t="shared" si="1"/>
        <v>0</v>
      </c>
      <c r="H16" s="635"/>
      <c r="I16" s="309"/>
    </row>
    <row r="17" spans="1:9" ht="18" customHeight="1">
      <c r="A17" s="508">
        <v>11</v>
      </c>
      <c r="B17" s="535"/>
      <c r="C17" s="589"/>
      <c r="D17" s="537">
        <f t="shared" si="2"/>
        <v>0</v>
      </c>
      <c r="E17" s="548"/>
      <c r="F17" s="549"/>
      <c r="G17" s="630">
        <f t="shared" si="1"/>
        <v>0</v>
      </c>
      <c r="H17" s="635"/>
      <c r="I17" s="309"/>
    </row>
    <row r="18" spans="1:9" ht="18" customHeight="1" thickBot="1">
      <c r="A18" s="509">
        <v>12</v>
      </c>
      <c r="B18" s="538"/>
      <c r="C18" s="590"/>
      <c r="D18" s="539">
        <f t="shared" si="2"/>
        <v>0</v>
      </c>
      <c r="E18" s="550"/>
      <c r="F18" s="551"/>
      <c r="G18" s="631">
        <f t="shared" si="1"/>
        <v>0</v>
      </c>
      <c r="H18" s="636"/>
      <c r="I18" s="309"/>
    </row>
    <row r="19" spans="1:9" ht="18" customHeight="1" thickBot="1">
      <c r="A19" s="511" t="s">
        <v>410</v>
      </c>
      <c r="B19" s="540">
        <v>300</v>
      </c>
      <c r="C19" s="591">
        <v>45.2</v>
      </c>
      <c r="D19" s="541">
        <f>B19*C19</f>
        <v>13560</v>
      </c>
      <c r="E19" s="552"/>
      <c r="F19" s="553">
        <f>32050+12750+15000</f>
        <v>59800</v>
      </c>
      <c r="G19" s="632">
        <f t="shared" si="1"/>
        <v>73360</v>
      </c>
      <c r="H19" s="637" t="s">
        <v>583</v>
      </c>
      <c r="I19" s="309"/>
    </row>
    <row r="20" spans="1:9" ht="18" customHeight="1" thickTop="1" thickBot="1">
      <c r="A20" s="510" t="s">
        <v>387</v>
      </c>
      <c r="B20" s="542">
        <f>SUM(B7:B19)</f>
        <v>300</v>
      </c>
      <c r="C20" s="592">
        <f>D20/B20</f>
        <v>45.2</v>
      </c>
      <c r="D20" s="543">
        <f>SUM(D7:D19)</f>
        <v>13560</v>
      </c>
      <c r="E20" s="544">
        <f t="shared" ref="E20:G20" si="3">SUM(E7:E19)</f>
        <v>0</v>
      </c>
      <c r="F20" s="545">
        <f t="shared" si="3"/>
        <v>59800</v>
      </c>
      <c r="G20" s="633">
        <f t="shared" si="3"/>
        <v>73360</v>
      </c>
      <c r="H20" s="638"/>
      <c r="I20" s="309"/>
    </row>
    <row r="21" spans="1:9" ht="18" customHeight="1"/>
  </sheetData>
  <sheetProtection sheet="1" objects="1" scenarios="1" selectLockedCells="1"/>
  <mergeCells count="5">
    <mergeCell ref="G5:G6"/>
    <mergeCell ref="B5:D5"/>
    <mergeCell ref="E5:E6"/>
    <mergeCell ref="F5:F6"/>
    <mergeCell ref="H5:H6"/>
  </mergeCells>
  <phoneticPr fontId="14"/>
  <dataValidations count="2">
    <dataValidation type="list" allowBlank="1" showInputMessage="1" showErrorMessage="1" sqref="B3">
      <formula1>植付本数</formula1>
    </dataValidation>
    <dataValidation type="list" allowBlank="1" showInputMessage="1" showErrorMessage="1" sqref="D3">
      <formula1>本</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41</vt:i4>
      </vt:variant>
    </vt:vector>
  </HeadingPairs>
  <TitlesOfParts>
    <vt:vector size="53" baseType="lpstr">
      <vt:lpstr>経営収支</vt:lpstr>
      <vt:lpstr>作業体系表</vt:lpstr>
      <vt:lpstr>Z-BFM</vt:lpstr>
      <vt:lpstr>資本装備</vt:lpstr>
      <vt:lpstr>①技術体系</vt:lpstr>
      <vt:lpstr>作目一覧</vt:lpstr>
      <vt:lpstr>②償却資産</vt:lpstr>
      <vt:lpstr>③労働時間</vt:lpstr>
      <vt:lpstr>④収入</vt:lpstr>
      <vt:lpstr>⑤支出</vt:lpstr>
      <vt:lpstr>科目設定</vt:lpstr>
      <vt:lpstr>説明書</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④収入!Print_Area</vt:lpstr>
      <vt:lpstr>⑤支出!Print_Area</vt:lpstr>
      <vt:lpstr>科目設定!Print_Area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2018-02-11T07:10:17Z</cp:lastPrinted>
  <dcterms:created xsi:type="dcterms:W3CDTF">2008-10-27T01:58:08Z</dcterms:created>
  <dcterms:modified xsi:type="dcterms:W3CDTF">2018-02-11T07:10:21Z</dcterms:modified>
</cp:coreProperties>
</file>