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285" yWindow="525" windowWidth="27060" windowHeight="5775" activeTab="4"/>
  </bookViews>
  <sheets>
    <sheet name="経営収支" sheetId="7" r:id="rId1"/>
    <sheet name="作業体系表" sheetId="5" r:id="rId2"/>
    <sheet name="Z-BFM" sheetId="19" r:id="rId3"/>
    <sheet name="①技術体系" sheetId="1" r:id="rId4"/>
    <sheet name="②償却資産" sheetId="2" r:id="rId5"/>
    <sheet name="③労働時間" sheetId="3" r:id="rId6"/>
    <sheet name="④収入" sheetId="21" r:id="rId7"/>
    <sheet name="⑤支出" sheetId="4" r:id="rId8"/>
    <sheet name="凡例" sheetId="20" r:id="rId9"/>
    <sheet name="科目設定" sheetId="11" r:id="rId10"/>
  </sheets>
  <externalReferences>
    <externalReference r:id="rId11"/>
    <externalReference r:id="rId12"/>
  </externalReferences>
  <definedNames>
    <definedName name="_xlnm._FilterDatabase" localSheetId="7" hidden="1">⑤支出!$A$2:$W$176</definedName>
    <definedName name="①_粗収益_10" localSheetId="2">[1]科目集計用!#REF!</definedName>
    <definedName name="①_粗収益_4" localSheetId="2">[1]収支入力!#REF!</definedName>
    <definedName name="①_粗収益_7" localSheetId="2">#REF!</definedName>
    <definedName name="②_種苗費_10" localSheetId="2">[1]科目集計用!#REF!</definedName>
    <definedName name="②_種苗費_4" localSheetId="2">[1]収支入力!#REF!</definedName>
    <definedName name="②_種苗費_7" localSheetId="2">#REF!</definedName>
    <definedName name="③_肥料費_10" localSheetId="2">[1]科目集計用!#REF!</definedName>
    <definedName name="③_肥料費_4" localSheetId="2">[1]収支入力!#REF!</definedName>
    <definedName name="③_肥料費_7" localSheetId="2">#REF!</definedName>
    <definedName name="④_農薬費_10" localSheetId="2">[1]科目集計用!#REF!</definedName>
    <definedName name="④_農薬費_4" localSheetId="2">[1]収支入力!#REF!</definedName>
    <definedName name="④_農薬費_7" localSheetId="2">#REF!</definedName>
    <definedName name="⑤_諸材料費_10" localSheetId="2">[1]科目集計用!#REF!</definedName>
    <definedName name="⑤_諸材料費_4" localSheetId="2">[1]収支入力!#REF!</definedName>
    <definedName name="⑤_諸材料費_7" localSheetId="2">#REF!</definedName>
    <definedName name="⑥_光熱動力費_10" localSheetId="2">[1]科目集計用!#REF!</definedName>
    <definedName name="⑥_光熱動力費_4" localSheetId="2">[1]収支入力!#REF!</definedName>
    <definedName name="⑥_光熱動力費_7" localSheetId="2">#REF!</definedName>
    <definedName name="⑦_小農具費_10" localSheetId="2">[1]科目集計用!#REF!</definedName>
    <definedName name="⑦_小農具費_4" localSheetId="2">[1]収支入力!#REF!</definedName>
    <definedName name="⑦_小農具費_7" localSheetId="2">#REF!</definedName>
    <definedName name="⑧_雇用労働費_10" localSheetId="2">[1]科目集計用!#REF!</definedName>
    <definedName name="⑧_雇用労働費_4" localSheetId="2">[1]収支入力!#REF!</definedName>
    <definedName name="⑧_雇用労働費_7" localSheetId="2">#REF!</definedName>
    <definedName name="⑨_賃料料金_10" localSheetId="2">[1]科目集計用!#REF!</definedName>
    <definedName name="⑨_賃料料金_4" localSheetId="2">[1]収支入力!#REF!</definedName>
    <definedName name="⑨_賃料料金_7" localSheetId="2">#REF!</definedName>
    <definedName name="⑩_土地改良水利費_10" localSheetId="2">[1]科目集計用!#REF!</definedName>
    <definedName name="⑩_土地改良水利費_4" localSheetId="2">[1]収支入力!#REF!</definedName>
    <definedName name="⑩_土地改良水利費_7" localSheetId="2">#REF!</definedName>
    <definedName name="⑪_販売経費_10" localSheetId="2">[1]科目集計用!#REF!</definedName>
    <definedName name="⑪_販売経費_4" localSheetId="2">[1]収支入力!#REF!</definedName>
    <definedName name="⑪_販売経費_7" localSheetId="2">#REF!</definedName>
    <definedName name="⑫_共済掛金_10" localSheetId="2">[1]科目集計用!#REF!</definedName>
    <definedName name="⑫_共済掛金_4" localSheetId="2">[1]収支入力!#REF!</definedName>
    <definedName name="⑫_共済掛金_7" localSheetId="2">#REF!</definedName>
    <definedName name="⑬_その他変動_10" localSheetId="2">[1]科目集計用!#REF!</definedName>
    <definedName name="⑬_その他変動_4" localSheetId="2">[1]収支入力!#REF!</definedName>
    <definedName name="⑬_その他変動_7" localSheetId="2">#REF!</definedName>
    <definedName name="EI_back" localSheetId="2">'Z-BFM'!$I$11:$I$28</definedName>
    <definedName name="EI_choice" localSheetId="2">'Z-BFM'!$L$27</definedName>
    <definedName name="EI_expense" localSheetId="2">'Z-BFM'!$C$16:$C$25</definedName>
    <definedName name="EI_front" localSheetId="2">'Z-BFM'!$F$11:$F$28</definedName>
    <definedName name="EI_landcoef" localSheetId="2">'Z-BFM'!$L$28</definedName>
    <definedName name="EI_landuse" localSheetId="2">'Z-BFM'!$L$11:$L$16</definedName>
    <definedName name="EI_outline" localSheetId="2">'Z-BFM'!$C$3:$E$8</definedName>
    <definedName name="EI_profit" localSheetId="2">'Z-BFM'!$C$27</definedName>
    <definedName name="EI_return" localSheetId="2">'Z-BFM'!$C$11:$C$14</definedName>
    <definedName name="Excel_BuiltIn_Print_Titles_10" localSheetId="2">[1]科目集計用!#REF!</definedName>
    <definedName name="GDATA" localSheetId="2">#REF!</definedName>
    <definedName name="GDATA_4" localSheetId="2">#REF!</definedName>
    <definedName name="GDATA_7" localSheetId="2">#REF!</definedName>
    <definedName name="_xlnm.Print_Area" localSheetId="3">①技術体系!$A$1:$E$25</definedName>
    <definedName name="_xlnm.Print_Area" localSheetId="6">④収入!$A$2:$H$22</definedName>
    <definedName name="_xlnm.Print_Area" localSheetId="7">⑤支出!$B$1:$W$175</definedName>
    <definedName name="_xlnm.Print_Area" localSheetId="9">科目設定!$A$1:$W$38</definedName>
    <definedName name="_xlnm.Print_Area" localSheetId="1">作業体系表!$B$1:$AN$47</definedName>
    <definedName name="_xlnm.Print_Titles" localSheetId="3">①技術体系!$1:$5</definedName>
    <definedName name="_xlnm.Print_Titles" localSheetId="5">③労働時間!$1:$4</definedName>
    <definedName name="_xlnm.Print_Titles" localSheetId="7">⑤支出!$1:$2</definedName>
    <definedName name="アメダスポイント名" localSheetId="2">[1]科目設定!$W$2:$W$16</definedName>
    <definedName name="科目" localSheetId="2">[1]科目設定!$C$1:$N$1</definedName>
    <definedName name="管理費用">科目設定!$N$2:$N$11</definedName>
    <definedName name="機械">②償却資産!$B$20:$B$33</definedName>
    <definedName name="機械能力">②償却資産!$D$20:$D$33</definedName>
    <definedName name="月旬" localSheetId="2">[1]科目設定!$P$2:$P$38</definedName>
    <definedName name="月旬">科目設定!$P$2:$P$38</definedName>
    <definedName name="原動機">'[2]算出根基３（減価償却費等）'!$C$14:$C$25</definedName>
    <definedName name="固定区分" localSheetId="2">[1]科目設定!$U$2:$U$4</definedName>
    <definedName name="固定費" localSheetId="2">[1]科目集計用!$I$111</definedName>
    <definedName name="雇用労働費">科目設定!$L$2:$L$4</definedName>
    <definedName name="作業期間">'[2]算出根基２（労働時間他）'!$T$5:$T$42</definedName>
    <definedName name="作業機械・規格">'[2]算出根基３（減価償却費等）'!$D$14:$D$25</definedName>
    <definedName name="作業名">①技術体系!$A$6:$A$25</definedName>
    <definedName name="作業名_4" localSheetId="2">#REF!</definedName>
    <definedName name="作業名_7" localSheetId="2">#REF!</definedName>
    <definedName name="作業名2">[2]前提条件!$A$23:$A$49</definedName>
    <definedName name="種苗費">科目設定!$D$2:$D$5</definedName>
    <definedName name="諸材料費">科目設定!$H$2:$H$8</definedName>
    <definedName name="植付本数">科目設定!$Y$2:$Y$4</definedName>
    <definedName name="粗収益">科目設定!$C$2:$C$5</definedName>
    <definedName name="想定面積" localSheetId="2">[1]償却資産!$E$1</definedName>
    <definedName name="想定面積">②償却資産!$E$1</definedName>
    <definedName name="単位" localSheetId="2">[1]科目設定!$Q$2:$Q$32</definedName>
    <definedName name="単位">科目設定!$Q$2:$Q$35</definedName>
    <definedName name="賃借料・利用料">科目設定!$K$2:$K$6</definedName>
    <definedName name="土地改良・水利費">科目設定!$J$2:$J$4</definedName>
    <definedName name="動力・光熱費">科目設定!$G$2:$G$8</definedName>
    <definedName name="燃料">'[2]算出根基１（粗収益・物財費）'!$P$22:$P$28</definedName>
    <definedName name="燃料種類" localSheetId="2">[1]科目設定!$S$2:$S$8</definedName>
    <definedName name="燃料種類">科目設定!$S$2:$S$8</definedName>
    <definedName name="農業薬剤費">科目設定!$F$2:$F$8</definedName>
    <definedName name="農具費">科目設定!$I$2:$I$5</definedName>
    <definedName name="売上高" localSheetId="2">[1]科目集計用!$I$7</definedName>
    <definedName name="販売費用">科目設定!$M$2:$M$7</definedName>
    <definedName name="肥料費">科目設定!$E$2:$E$8</definedName>
    <definedName name="変動費" localSheetId="2">[1]科目集計用!$I$110</definedName>
    <definedName name="本">科目設定!$Z$2:$Z$4</definedName>
  </definedNames>
  <calcPr calcId="145621"/>
</workbook>
</file>

<file path=xl/calcChain.xml><?xml version="1.0" encoding="utf-8"?>
<calcChain xmlns="http://schemas.openxmlformats.org/spreadsheetml/2006/main">
  <c r="D133" i="4" l="1"/>
  <c r="C69" i="4" l="1"/>
  <c r="C68" i="4"/>
  <c r="AN36" i="5" l="1"/>
  <c r="D40" i="5" s="1"/>
  <c r="AN35" i="5"/>
  <c r="C6" i="19" l="1"/>
  <c r="G22" i="7"/>
  <c r="V131" i="4"/>
  <c r="U131" i="4"/>
  <c r="T131" i="4"/>
  <c r="O131" i="4"/>
  <c r="J131" i="4"/>
  <c r="I131" i="4"/>
  <c r="J130" i="4"/>
  <c r="I130" i="4"/>
  <c r="V129" i="4"/>
  <c r="U129" i="4"/>
  <c r="T129" i="4"/>
  <c r="O129" i="4"/>
  <c r="J129" i="4"/>
  <c r="I129" i="4"/>
  <c r="V128" i="4"/>
  <c r="U128" i="4"/>
  <c r="T128" i="4"/>
  <c r="O128" i="4"/>
  <c r="V127" i="4"/>
  <c r="U127" i="4"/>
  <c r="T127" i="4"/>
  <c r="O127" i="4"/>
  <c r="R353" i="3" l="1"/>
  <c r="Q353" i="3"/>
  <c r="R352" i="3"/>
  <c r="Q352" i="3"/>
  <c r="R351" i="3"/>
  <c r="Q351" i="3"/>
  <c r="R350" i="3"/>
  <c r="Q350" i="3"/>
  <c r="R349" i="3"/>
  <c r="Q349" i="3"/>
  <c r="R348" i="3"/>
  <c r="Q348" i="3"/>
  <c r="R347" i="3"/>
  <c r="Q347" i="3"/>
  <c r="R346" i="3"/>
  <c r="Q346" i="3"/>
  <c r="R345" i="3"/>
  <c r="Q345" i="3"/>
  <c r="R344" i="3"/>
  <c r="Q344" i="3"/>
  <c r="R343" i="3"/>
  <c r="Q343" i="3"/>
  <c r="R342" i="3"/>
  <c r="Q342" i="3"/>
  <c r="R341" i="3"/>
  <c r="Q341" i="3"/>
  <c r="R340" i="3"/>
  <c r="Q340" i="3"/>
  <c r="R339" i="3"/>
  <c r="Q339" i="3"/>
  <c r="R338" i="3"/>
  <c r="Q338" i="3"/>
  <c r="R337" i="3"/>
  <c r="Q337" i="3"/>
  <c r="R336" i="3"/>
  <c r="Q336" i="3"/>
  <c r="R335" i="3"/>
  <c r="Q335" i="3"/>
  <c r="R334" i="3"/>
  <c r="Q334" i="3"/>
  <c r="R333" i="3"/>
  <c r="Q333" i="3"/>
  <c r="R332" i="3"/>
  <c r="Q332" i="3"/>
  <c r="R331" i="3"/>
  <c r="Q331" i="3"/>
  <c r="R330" i="3"/>
  <c r="Q330" i="3"/>
  <c r="R329" i="3"/>
  <c r="Q329" i="3"/>
  <c r="R328" i="3"/>
  <c r="Q328" i="3"/>
  <c r="R327" i="3"/>
  <c r="Q327" i="3"/>
  <c r="R326" i="3"/>
  <c r="Q326" i="3"/>
  <c r="R325" i="3"/>
  <c r="Q325" i="3"/>
  <c r="R324" i="3"/>
  <c r="Q324" i="3"/>
  <c r="R323" i="3"/>
  <c r="Q323" i="3"/>
  <c r="R322" i="3"/>
  <c r="Q322" i="3"/>
  <c r="R321" i="3"/>
  <c r="Q321" i="3"/>
  <c r="R320" i="3"/>
  <c r="Q320" i="3"/>
  <c r="R319" i="3"/>
  <c r="Q319" i="3"/>
  <c r="R318" i="3"/>
  <c r="Q318" i="3"/>
  <c r="R317" i="3"/>
  <c r="Q317" i="3"/>
  <c r="R316" i="3"/>
  <c r="Q316" i="3"/>
  <c r="R315" i="3"/>
  <c r="Q315" i="3"/>
  <c r="R314" i="3"/>
  <c r="Q314" i="3"/>
  <c r="R313" i="3"/>
  <c r="Q313" i="3"/>
  <c r="R312" i="3"/>
  <c r="Q312" i="3"/>
  <c r="R311" i="3"/>
  <c r="Q311" i="3"/>
  <c r="R310" i="3"/>
  <c r="Q310" i="3"/>
  <c r="R309" i="3"/>
  <c r="Q309" i="3"/>
  <c r="R308" i="3"/>
  <c r="Q308" i="3"/>
  <c r="R307" i="3"/>
  <c r="Q307" i="3"/>
  <c r="R306" i="3"/>
  <c r="Q306" i="3"/>
  <c r="R305" i="3"/>
  <c r="Q305" i="3"/>
  <c r="R304" i="3"/>
  <c r="Q304" i="3"/>
  <c r="R303" i="3"/>
  <c r="Q303" i="3"/>
  <c r="R302" i="3"/>
  <c r="Q302" i="3"/>
  <c r="R301" i="3"/>
  <c r="Q301" i="3"/>
  <c r="R300" i="3"/>
  <c r="Q300" i="3"/>
  <c r="R299" i="3"/>
  <c r="Q299" i="3"/>
  <c r="R298" i="3"/>
  <c r="Q298" i="3"/>
  <c r="R297" i="3"/>
  <c r="Q297" i="3"/>
  <c r="R296" i="3"/>
  <c r="Q296" i="3"/>
  <c r="R295" i="3"/>
  <c r="Q295" i="3"/>
  <c r="R294" i="3"/>
  <c r="Q294" i="3"/>
  <c r="R293" i="3"/>
  <c r="Q293" i="3"/>
  <c r="R292" i="3"/>
  <c r="Q292" i="3"/>
  <c r="R291" i="3"/>
  <c r="Q291" i="3"/>
  <c r="R290" i="3"/>
  <c r="Q290" i="3"/>
  <c r="R289" i="3"/>
  <c r="Q289" i="3"/>
  <c r="R288" i="3"/>
  <c r="Q288" i="3"/>
  <c r="R287" i="3"/>
  <c r="Q287" i="3"/>
  <c r="R286" i="3"/>
  <c r="Q286" i="3"/>
  <c r="R285" i="3"/>
  <c r="Q285" i="3"/>
  <c r="R284" i="3"/>
  <c r="Q284" i="3"/>
  <c r="R283" i="3"/>
  <c r="Q283" i="3"/>
  <c r="R282" i="3"/>
  <c r="Q282" i="3"/>
  <c r="R281" i="3"/>
  <c r="Q281" i="3"/>
  <c r="R280" i="3"/>
  <c r="Q280" i="3"/>
  <c r="R279" i="3"/>
  <c r="Q279" i="3"/>
  <c r="R278" i="3"/>
  <c r="Q278" i="3"/>
  <c r="R277" i="3"/>
  <c r="Q277" i="3"/>
  <c r="R276" i="3"/>
  <c r="Q276" i="3"/>
  <c r="R275" i="3"/>
  <c r="Q275" i="3"/>
  <c r="R274" i="3"/>
  <c r="Q274" i="3"/>
  <c r="R273" i="3"/>
  <c r="Q273" i="3"/>
  <c r="R272" i="3"/>
  <c r="Q272" i="3"/>
  <c r="R271" i="3"/>
  <c r="Q271" i="3"/>
  <c r="R270" i="3"/>
  <c r="Q270" i="3"/>
  <c r="R269" i="3"/>
  <c r="Q269" i="3"/>
  <c r="R268" i="3"/>
  <c r="Q268" i="3"/>
  <c r="R267" i="3"/>
  <c r="Q267" i="3"/>
  <c r="R266" i="3"/>
  <c r="Q266" i="3"/>
  <c r="R265" i="3"/>
  <c r="Q265" i="3"/>
  <c r="R264" i="3"/>
  <c r="Q264" i="3"/>
  <c r="R263" i="3"/>
  <c r="Q263" i="3"/>
  <c r="R262" i="3"/>
  <c r="Q262" i="3"/>
  <c r="R261" i="3"/>
  <c r="Q261" i="3"/>
  <c r="R260" i="3"/>
  <c r="Q260" i="3"/>
  <c r="R259" i="3"/>
  <c r="Q259" i="3"/>
  <c r="R258" i="3"/>
  <c r="Q258" i="3"/>
  <c r="R257" i="3"/>
  <c r="Q257" i="3"/>
  <c r="R256" i="3"/>
  <c r="Q256" i="3"/>
  <c r="R255" i="3"/>
  <c r="Q255" i="3"/>
  <c r="R254" i="3"/>
  <c r="Q254" i="3"/>
  <c r="R253" i="3"/>
  <c r="Q253" i="3"/>
  <c r="R252" i="3"/>
  <c r="Q252" i="3"/>
  <c r="R251" i="3"/>
  <c r="Q251" i="3"/>
  <c r="R250" i="3"/>
  <c r="Q250" i="3"/>
  <c r="R249" i="3"/>
  <c r="Q249" i="3"/>
  <c r="R248" i="3"/>
  <c r="Q248" i="3"/>
  <c r="R247" i="3"/>
  <c r="Q247" i="3"/>
  <c r="R246" i="3"/>
  <c r="Q246" i="3"/>
  <c r="R245" i="3"/>
  <c r="Q245" i="3"/>
  <c r="R244" i="3"/>
  <c r="Q244" i="3"/>
  <c r="R243" i="3"/>
  <c r="Q243" i="3"/>
  <c r="R242" i="3"/>
  <c r="Q242" i="3"/>
  <c r="R241" i="3"/>
  <c r="Q241" i="3"/>
  <c r="R240" i="3"/>
  <c r="Q240" i="3"/>
  <c r="R239" i="3"/>
  <c r="Q239" i="3"/>
  <c r="R238" i="3"/>
  <c r="Q238" i="3"/>
  <c r="R237" i="3"/>
  <c r="Q237" i="3"/>
  <c r="R236" i="3"/>
  <c r="Q236" i="3"/>
  <c r="R235" i="3"/>
  <c r="Q235" i="3"/>
  <c r="R234" i="3"/>
  <c r="Q234" i="3"/>
  <c r="R233" i="3"/>
  <c r="Q233" i="3"/>
  <c r="R232" i="3"/>
  <c r="Q232" i="3"/>
  <c r="R231" i="3"/>
  <c r="Q231" i="3"/>
  <c r="R230" i="3"/>
  <c r="Q230" i="3"/>
  <c r="R229" i="3"/>
  <c r="Q229" i="3"/>
  <c r="R228" i="3"/>
  <c r="Q228" i="3"/>
  <c r="R227" i="3"/>
  <c r="Q227" i="3"/>
  <c r="R226" i="3"/>
  <c r="Q226" i="3"/>
  <c r="R225" i="3"/>
  <c r="Q225" i="3"/>
  <c r="R224" i="3"/>
  <c r="Q224" i="3"/>
  <c r="R223" i="3"/>
  <c r="Q223" i="3"/>
  <c r="R222" i="3"/>
  <c r="Q222" i="3"/>
  <c r="R221" i="3"/>
  <c r="Q221" i="3"/>
  <c r="R220" i="3"/>
  <c r="Q220" i="3"/>
  <c r="R219" i="3"/>
  <c r="Q219" i="3"/>
  <c r="R218" i="3"/>
  <c r="Q218" i="3"/>
  <c r="R217" i="3"/>
  <c r="Q217" i="3"/>
  <c r="R216" i="3"/>
  <c r="Q216" i="3"/>
  <c r="R215" i="3"/>
  <c r="Q215" i="3"/>
  <c r="R214" i="3"/>
  <c r="Q214" i="3"/>
  <c r="R213" i="3"/>
  <c r="Q213" i="3"/>
  <c r="R212" i="3"/>
  <c r="Q212" i="3"/>
  <c r="R211" i="3"/>
  <c r="Q211" i="3"/>
  <c r="R210" i="3"/>
  <c r="Q210" i="3"/>
  <c r="R209" i="3"/>
  <c r="Q209" i="3"/>
  <c r="R208" i="3"/>
  <c r="Q208" i="3"/>
  <c r="R207" i="3"/>
  <c r="Q207" i="3"/>
  <c r="R206" i="3"/>
  <c r="Q206" i="3"/>
  <c r="R205" i="3"/>
  <c r="Q205" i="3"/>
  <c r="R204" i="3"/>
  <c r="Q204" i="3"/>
  <c r="R203" i="3"/>
  <c r="Q203" i="3"/>
  <c r="R202" i="3"/>
  <c r="Q202" i="3"/>
  <c r="R201" i="3"/>
  <c r="Q201" i="3"/>
  <c r="R200" i="3"/>
  <c r="Q200" i="3"/>
  <c r="R199" i="3"/>
  <c r="Q199" i="3"/>
  <c r="R198" i="3"/>
  <c r="Q198" i="3"/>
  <c r="R197" i="3"/>
  <c r="Q197" i="3"/>
  <c r="R196" i="3"/>
  <c r="Q196" i="3"/>
  <c r="R195" i="3"/>
  <c r="Q195" i="3"/>
  <c r="R194" i="3"/>
  <c r="Q194" i="3"/>
  <c r="R193" i="3"/>
  <c r="Q193" i="3"/>
  <c r="R192" i="3"/>
  <c r="Q192" i="3"/>
  <c r="R191" i="3"/>
  <c r="Q191" i="3"/>
  <c r="R190" i="3"/>
  <c r="Q190" i="3"/>
  <c r="R189" i="3"/>
  <c r="Q189" i="3"/>
  <c r="R188" i="3"/>
  <c r="Q188" i="3"/>
  <c r="R187" i="3"/>
  <c r="Q187" i="3"/>
  <c r="R186" i="3"/>
  <c r="Q186" i="3"/>
  <c r="R185" i="3"/>
  <c r="Q185" i="3"/>
  <c r="R184" i="3"/>
  <c r="Q184" i="3"/>
  <c r="R183" i="3"/>
  <c r="Q183" i="3"/>
  <c r="R182" i="3"/>
  <c r="Q182" i="3"/>
  <c r="R181" i="3"/>
  <c r="Q181" i="3"/>
  <c r="R180" i="3"/>
  <c r="Q180" i="3"/>
  <c r="R179" i="3"/>
  <c r="Q179" i="3"/>
  <c r="R178" i="3"/>
  <c r="Q178" i="3"/>
  <c r="R177" i="3"/>
  <c r="Q177" i="3"/>
  <c r="R176" i="3"/>
  <c r="Q176" i="3"/>
  <c r="R175" i="3"/>
  <c r="Q175" i="3"/>
  <c r="R174" i="3"/>
  <c r="Q174" i="3"/>
  <c r="R173" i="3"/>
  <c r="Q173" i="3"/>
  <c r="R172" i="3"/>
  <c r="Q172" i="3"/>
  <c r="R171" i="3"/>
  <c r="Q171" i="3"/>
  <c r="R170" i="3"/>
  <c r="Q170" i="3"/>
  <c r="R169" i="3"/>
  <c r="Q169" i="3"/>
  <c r="R168" i="3"/>
  <c r="Q168" i="3"/>
  <c r="R167" i="3"/>
  <c r="Q167" i="3"/>
  <c r="R166" i="3"/>
  <c r="Q166" i="3"/>
  <c r="R165" i="3"/>
  <c r="Q165" i="3"/>
  <c r="R164" i="3"/>
  <c r="Q164" i="3"/>
  <c r="R163" i="3"/>
  <c r="Q163" i="3"/>
  <c r="R162" i="3"/>
  <c r="Q162" i="3"/>
  <c r="R161" i="3"/>
  <c r="Q161" i="3"/>
  <c r="R160" i="3"/>
  <c r="Q160" i="3"/>
  <c r="R159" i="3"/>
  <c r="Q159" i="3"/>
  <c r="R158" i="3"/>
  <c r="Q158" i="3"/>
  <c r="R157" i="3"/>
  <c r="Q157" i="3"/>
  <c r="R156" i="3"/>
  <c r="Q156" i="3"/>
  <c r="R155" i="3"/>
  <c r="Q155" i="3"/>
  <c r="R154" i="3"/>
  <c r="Q154" i="3"/>
  <c r="R153" i="3"/>
  <c r="Q153" i="3"/>
  <c r="R152" i="3"/>
  <c r="Q152" i="3"/>
  <c r="R151" i="3"/>
  <c r="Q151" i="3"/>
  <c r="R150" i="3"/>
  <c r="Q150" i="3"/>
  <c r="R149" i="3"/>
  <c r="Q149" i="3"/>
  <c r="R148" i="3"/>
  <c r="Q148" i="3"/>
  <c r="R147" i="3"/>
  <c r="Q147" i="3"/>
  <c r="R146" i="3"/>
  <c r="Q146" i="3"/>
  <c r="R145" i="3"/>
  <c r="Q145" i="3"/>
  <c r="R144" i="3"/>
  <c r="Q144" i="3"/>
  <c r="R143" i="3"/>
  <c r="Q143" i="3"/>
  <c r="R142" i="3"/>
  <c r="Q142" i="3"/>
  <c r="R141" i="3"/>
  <c r="Q141" i="3"/>
  <c r="R140" i="3"/>
  <c r="Q140" i="3"/>
  <c r="R139" i="3"/>
  <c r="Q139" i="3"/>
  <c r="R138" i="3"/>
  <c r="Q138" i="3"/>
  <c r="R137" i="3"/>
  <c r="Q137" i="3"/>
  <c r="R136" i="3"/>
  <c r="Q136" i="3"/>
  <c r="R135" i="3"/>
  <c r="Q135" i="3"/>
  <c r="R134" i="3"/>
  <c r="Q134" i="3"/>
  <c r="R133" i="3"/>
  <c r="Q133" i="3"/>
  <c r="R132" i="3"/>
  <c r="Q132" i="3"/>
  <c r="R131" i="3"/>
  <c r="Q131" i="3"/>
  <c r="R130" i="3"/>
  <c r="Q130" i="3"/>
  <c r="R129" i="3"/>
  <c r="Q129" i="3"/>
  <c r="R128" i="3"/>
  <c r="Q128" i="3"/>
  <c r="R127" i="3"/>
  <c r="Q127" i="3"/>
  <c r="R126" i="3"/>
  <c r="Q126" i="3"/>
  <c r="R125" i="3"/>
  <c r="Q125" i="3"/>
  <c r="R124" i="3"/>
  <c r="Q124" i="3"/>
  <c r="R123" i="3"/>
  <c r="Q123" i="3"/>
  <c r="R122" i="3"/>
  <c r="Q122" i="3"/>
  <c r="R121" i="3"/>
  <c r="Q121" i="3"/>
  <c r="R120" i="3"/>
  <c r="Q120" i="3"/>
  <c r="R119" i="3"/>
  <c r="Q119" i="3"/>
  <c r="R118" i="3"/>
  <c r="Q118" i="3"/>
  <c r="R117" i="3"/>
  <c r="Q117" i="3"/>
  <c r="R116" i="3"/>
  <c r="Q116" i="3"/>
  <c r="R115" i="3"/>
  <c r="Q115" i="3"/>
  <c r="R114" i="3"/>
  <c r="Q114" i="3"/>
  <c r="R113" i="3"/>
  <c r="Q113" i="3"/>
  <c r="R112" i="3"/>
  <c r="Q112" i="3"/>
  <c r="R111" i="3"/>
  <c r="Q111" i="3"/>
  <c r="R110" i="3"/>
  <c r="Q110" i="3"/>
  <c r="R109" i="3"/>
  <c r="Q109" i="3"/>
  <c r="R108" i="3"/>
  <c r="Q108" i="3"/>
  <c r="R107" i="3"/>
  <c r="Q107" i="3"/>
  <c r="R106" i="3"/>
  <c r="Q106" i="3"/>
  <c r="R105" i="3"/>
  <c r="Q105" i="3"/>
  <c r="R104" i="3"/>
  <c r="Q104" i="3"/>
  <c r="R103" i="3"/>
  <c r="Q103" i="3"/>
  <c r="R102" i="3"/>
  <c r="Q102" i="3"/>
  <c r="R101" i="3"/>
  <c r="Q101" i="3"/>
  <c r="R100" i="3"/>
  <c r="Q100" i="3"/>
  <c r="R99" i="3"/>
  <c r="Q99" i="3"/>
  <c r="R98" i="3"/>
  <c r="Q98" i="3"/>
  <c r="R97" i="3"/>
  <c r="Q97" i="3"/>
  <c r="R96" i="3"/>
  <c r="Q96" i="3"/>
  <c r="R95" i="3"/>
  <c r="Q95" i="3"/>
  <c r="R94" i="3"/>
  <c r="Q94" i="3"/>
  <c r="R93" i="3"/>
  <c r="Q93" i="3"/>
  <c r="R92" i="3"/>
  <c r="Q92" i="3"/>
  <c r="R91" i="3"/>
  <c r="Q91" i="3"/>
  <c r="R90" i="3"/>
  <c r="Q90" i="3"/>
  <c r="R89" i="3"/>
  <c r="Q89" i="3"/>
  <c r="R88" i="3"/>
  <c r="Q88" i="3"/>
  <c r="R87" i="3"/>
  <c r="Q87" i="3"/>
  <c r="R86" i="3"/>
  <c r="Q86" i="3"/>
  <c r="R85" i="3"/>
  <c r="Q85" i="3"/>
  <c r="R84" i="3"/>
  <c r="Q84" i="3"/>
  <c r="R83" i="3"/>
  <c r="Q83" i="3"/>
  <c r="R82" i="3"/>
  <c r="Q82" i="3"/>
  <c r="R81" i="3"/>
  <c r="Q81" i="3"/>
  <c r="R80" i="3"/>
  <c r="Q80" i="3"/>
  <c r="R79" i="3"/>
  <c r="Q79" i="3"/>
  <c r="R78" i="3"/>
  <c r="Q78" i="3"/>
  <c r="R77" i="3"/>
  <c r="Q77" i="3"/>
  <c r="R76" i="3"/>
  <c r="Q76" i="3"/>
  <c r="R75" i="3"/>
  <c r="Q75" i="3"/>
  <c r="R74" i="3"/>
  <c r="Q74" i="3"/>
  <c r="R73" i="3"/>
  <c r="Q73" i="3"/>
  <c r="R72" i="3"/>
  <c r="Q72" i="3"/>
  <c r="R71" i="3"/>
  <c r="Q71" i="3"/>
  <c r="R70" i="3"/>
  <c r="Q70" i="3"/>
  <c r="R69" i="3"/>
  <c r="Q69" i="3"/>
  <c r="R68" i="3"/>
  <c r="Q68" i="3"/>
  <c r="R67" i="3"/>
  <c r="Q67" i="3"/>
  <c r="R66" i="3"/>
  <c r="Q66" i="3"/>
  <c r="R65" i="3"/>
  <c r="Q65" i="3"/>
  <c r="R64" i="3"/>
  <c r="Q64" i="3"/>
  <c r="R63" i="3"/>
  <c r="Q63" i="3"/>
  <c r="R62" i="3"/>
  <c r="Q62" i="3"/>
  <c r="R61" i="3"/>
  <c r="Q61" i="3"/>
  <c r="R60" i="3"/>
  <c r="Q60" i="3"/>
  <c r="R59" i="3"/>
  <c r="Q59" i="3"/>
  <c r="R58" i="3"/>
  <c r="Q58" i="3"/>
  <c r="R57" i="3"/>
  <c r="Q57" i="3"/>
  <c r="R56" i="3"/>
  <c r="Q56" i="3"/>
  <c r="R55" i="3"/>
  <c r="Q55" i="3"/>
  <c r="R54" i="3"/>
  <c r="Q54" i="3"/>
  <c r="R53" i="3"/>
  <c r="Q53" i="3"/>
  <c r="R52" i="3"/>
  <c r="Q52" i="3"/>
  <c r="R51" i="3"/>
  <c r="Q51" i="3"/>
  <c r="R50" i="3"/>
  <c r="Q50" i="3"/>
  <c r="R49" i="3"/>
  <c r="Q49" i="3"/>
  <c r="R48" i="3"/>
  <c r="Q48" i="3"/>
  <c r="R47" i="3"/>
  <c r="Q47" i="3"/>
  <c r="R46" i="3"/>
  <c r="Q46" i="3"/>
  <c r="R45" i="3"/>
  <c r="Q45" i="3"/>
  <c r="R44" i="3"/>
  <c r="Q44" i="3"/>
  <c r="R43" i="3"/>
  <c r="Q43" i="3"/>
  <c r="R42" i="3"/>
  <c r="Q42" i="3"/>
  <c r="R41" i="3"/>
  <c r="Q41" i="3"/>
  <c r="R40" i="3"/>
  <c r="Q40" i="3"/>
  <c r="R39" i="3"/>
  <c r="Q39" i="3"/>
  <c r="R38" i="3"/>
  <c r="Q38" i="3"/>
  <c r="R37" i="3"/>
  <c r="Q37" i="3"/>
  <c r="R36" i="3"/>
  <c r="Q36" i="3"/>
  <c r="R35" i="3"/>
  <c r="Q35" i="3"/>
  <c r="R34" i="3"/>
  <c r="Q34" i="3"/>
  <c r="R33" i="3"/>
  <c r="Q33" i="3"/>
  <c r="R32" i="3"/>
  <c r="Q32" i="3"/>
  <c r="R31" i="3"/>
  <c r="Q31" i="3"/>
  <c r="R30" i="3"/>
  <c r="Q30" i="3"/>
  <c r="R29" i="3"/>
  <c r="Q29" i="3"/>
  <c r="R28" i="3"/>
  <c r="Q28" i="3"/>
  <c r="R27" i="3"/>
  <c r="Q27" i="3"/>
  <c r="R26" i="3"/>
  <c r="Q26" i="3"/>
  <c r="R25" i="3"/>
  <c r="Q25" i="3"/>
  <c r="R24" i="3"/>
  <c r="Q24" i="3"/>
  <c r="R23" i="3"/>
  <c r="Q23" i="3"/>
  <c r="R22" i="3"/>
  <c r="Q22" i="3"/>
  <c r="R21" i="3"/>
  <c r="Q21" i="3"/>
  <c r="R20" i="3"/>
  <c r="Q20" i="3"/>
  <c r="R19" i="3"/>
  <c r="Q19" i="3"/>
  <c r="R18" i="3"/>
  <c r="Q18" i="3"/>
  <c r="R17" i="3"/>
  <c r="Q17" i="3"/>
  <c r="R16" i="3"/>
  <c r="Q16" i="3"/>
  <c r="R15" i="3"/>
  <c r="Q15" i="3"/>
  <c r="R14" i="3"/>
  <c r="Q14" i="3"/>
  <c r="R13" i="3"/>
  <c r="Q13" i="3"/>
  <c r="R12" i="3"/>
  <c r="Q12" i="3"/>
  <c r="R11" i="3"/>
  <c r="Q11" i="3"/>
  <c r="R10" i="3"/>
  <c r="Q10" i="3"/>
  <c r="R9" i="3"/>
  <c r="Q9" i="3"/>
  <c r="R8" i="3"/>
  <c r="Q8" i="3"/>
  <c r="R7" i="3"/>
  <c r="Q7" i="3"/>
  <c r="R6" i="3"/>
  <c r="F30" i="5" s="1"/>
  <c r="Q6" i="3"/>
  <c r="AG29" i="5" s="1"/>
  <c r="R5" i="3"/>
  <c r="AB30" i="5" s="1"/>
  <c r="Q5" i="3"/>
  <c r="J134" i="4"/>
  <c r="J135" i="4"/>
  <c r="J137" i="4"/>
  <c r="J138" i="4"/>
  <c r="J139" i="4"/>
  <c r="J140" i="4"/>
  <c r="J141" i="4"/>
  <c r="J142" i="4"/>
  <c r="C64" i="4"/>
  <c r="X30" i="5" l="1"/>
  <c r="AM29" i="5"/>
  <c r="L30" i="5"/>
  <c r="H30" i="5"/>
  <c r="AM30" i="5"/>
  <c r="P30" i="5"/>
  <c r="AF30" i="5"/>
  <c r="D30" i="5"/>
  <c r="T30" i="5"/>
  <c r="AJ30" i="5"/>
  <c r="H29" i="5"/>
  <c r="P29" i="5"/>
  <c r="X29" i="5"/>
  <c r="AF29" i="5"/>
  <c r="E30" i="5"/>
  <c r="M30" i="5"/>
  <c r="U30" i="5"/>
  <c r="AC30" i="5"/>
  <c r="AK30" i="5"/>
  <c r="I29" i="5"/>
  <c r="Q29" i="5"/>
  <c r="Y29" i="5"/>
  <c r="AK29" i="5"/>
  <c r="J30" i="5"/>
  <c r="N30" i="5"/>
  <c r="R30" i="5"/>
  <c r="V30" i="5"/>
  <c r="Z30" i="5"/>
  <c r="AD30" i="5"/>
  <c r="AH30" i="5"/>
  <c r="AL30" i="5"/>
  <c r="F29" i="5"/>
  <c r="J29" i="5"/>
  <c r="N29" i="5"/>
  <c r="R29" i="5"/>
  <c r="V29" i="5"/>
  <c r="Z29" i="5"/>
  <c r="AD29" i="5"/>
  <c r="AH29" i="5"/>
  <c r="AL29" i="5"/>
  <c r="D29" i="5"/>
  <c r="L29" i="5"/>
  <c r="T29" i="5"/>
  <c r="AB29" i="5"/>
  <c r="AJ29" i="5"/>
  <c r="I30" i="5"/>
  <c r="Q30" i="5"/>
  <c r="Y30" i="5"/>
  <c r="AG30" i="5"/>
  <c r="E29" i="5"/>
  <c r="M29" i="5"/>
  <c r="U29" i="5"/>
  <c r="AC29" i="5"/>
  <c r="G30" i="5"/>
  <c r="K30" i="5"/>
  <c r="O30" i="5"/>
  <c r="S30" i="5"/>
  <c r="W30" i="5"/>
  <c r="AA30" i="5"/>
  <c r="AE30" i="5"/>
  <c r="AI30" i="5"/>
  <c r="G29" i="5"/>
  <c r="K29" i="5"/>
  <c r="O29" i="5"/>
  <c r="S29" i="5"/>
  <c r="W29" i="5"/>
  <c r="AA29" i="5"/>
  <c r="AE29" i="5"/>
  <c r="AI29" i="5"/>
  <c r="G28" i="7"/>
  <c r="J174" i="4"/>
  <c r="J173" i="4"/>
  <c r="J172" i="4"/>
  <c r="J171" i="4"/>
  <c r="J170" i="4"/>
  <c r="J169" i="4"/>
  <c r="J168" i="4"/>
  <c r="J167" i="4"/>
  <c r="J166" i="4"/>
  <c r="J165" i="4"/>
  <c r="J164" i="4"/>
  <c r="J162" i="4"/>
  <c r="J161" i="4"/>
  <c r="J160" i="4"/>
  <c r="J159" i="4"/>
  <c r="J157" i="4"/>
  <c r="J156" i="4"/>
  <c r="J155" i="4"/>
  <c r="J152" i="4"/>
  <c r="J151" i="4"/>
  <c r="J150" i="4"/>
  <c r="J149" i="4"/>
  <c r="J147" i="4"/>
  <c r="J146" i="4"/>
  <c r="J145" i="4"/>
  <c r="J125" i="4"/>
  <c r="J124" i="4"/>
  <c r="J123" i="4"/>
  <c r="J122" i="4"/>
  <c r="J119" i="4"/>
  <c r="J118" i="4"/>
  <c r="J117" i="4"/>
  <c r="J116" i="4"/>
  <c r="J114" i="4"/>
  <c r="J113" i="4"/>
  <c r="J112" i="4"/>
  <c r="J111" i="4"/>
  <c r="J110" i="4"/>
  <c r="J109"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19" i="4"/>
  <c r="J18" i="4"/>
  <c r="J17" i="4"/>
  <c r="J16" i="4"/>
  <c r="J15" i="4"/>
  <c r="J14" i="4"/>
  <c r="J13" i="4"/>
  <c r="J7" i="4"/>
  <c r="J6" i="4"/>
  <c r="J5" i="4"/>
  <c r="J4" i="4"/>
  <c r="I134" i="4"/>
  <c r="I135" i="4"/>
  <c r="I137" i="4"/>
  <c r="I138" i="4"/>
  <c r="I139" i="4"/>
  <c r="I140" i="4"/>
  <c r="I141" i="4"/>
  <c r="I142" i="4"/>
  <c r="I133" i="4"/>
  <c r="J133" i="4" s="1"/>
  <c r="D20" i="21"/>
  <c r="D136" i="4" s="1"/>
  <c r="I136" i="4" s="1"/>
  <c r="J136" i="4" s="1"/>
  <c r="N22" i="2"/>
  <c r="O22" i="2" s="1"/>
  <c r="P22" i="2" s="1"/>
  <c r="Q22" i="2" s="1"/>
  <c r="N26" i="2"/>
  <c r="O26" i="2" s="1"/>
  <c r="P26" i="2" s="1"/>
  <c r="Q26" i="2" s="1"/>
  <c r="N30" i="2"/>
  <c r="O30" i="2" s="1"/>
  <c r="P30" i="2" s="1"/>
  <c r="Q30" i="2" s="1"/>
  <c r="K22" i="2"/>
  <c r="L22" i="2" s="1"/>
  <c r="K23" i="2"/>
  <c r="L23" i="2" s="1"/>
  <c r="K24" i="2"/>
  <c r="L24" i="2" s="1"/>
  <c r="K25" i="2"/>
  <c r="L25" i="2" s="1"/>
  <c r="K26" i="2"/>
  <c r="L26" i="2" s="1"/>
  <c r="K27" i="2"/>
  <c r="L27" i="2" s="1"/>
  <c r="K28" i="2"/>
  <c r="L28" i="2" s="1"/>
  <c r="K29" i="2"/>
  <c r="L29" i="2" s="1"/>
  <c r="K30" i="2"/>
  <c r="L30" i="2" s="1"/>
  <c r="K31" i="2"/>
  <c r="L31" i="2" s="1"/>
  <c r="I165" i="4"/>
  <c r="I166" i="4"/>
  <c r="I167" i="4"/>
  <c r="I168" i="4"/>
  <c r="I169" i="4"/>
  <c r="I170" i="4"/>
  <c r="I171" i="4"/>
  <c r="I172" i="4"/>
  <c r="I173" i="4"/>
  <c r="I174" i="4"/>
  <c r="I164" i="4"/>
  <c r="J143" i="4" l="1"/>
  <c r="N24" i="2"/>
  <c r="O24" i="2" s="1"/>
  <c r="P24" i="2" s="1"/>
  <c r="Q24" i="2" s="1"/>
  <c r="N28" i="2"/>
  <c r="O28" i="2" s="1"/>
  <c r="P28" i="2" s="1"/>
  <c r="Q28" i="2" s="1"/>
  <c r="N27" i="2"/>
  <c r="O27" i="2" s="1"/>
  <c r="P27" i="2" s="1"/>
  <c r="Q27" i="2" s="1"/>
  <c r="N23" i="2"/>
  <c r="O23" i="2" s="1"/>
  <c r="P23" i="2" s="1"/>
  <c r="Q23" i="2" s="1"/>
  <c r="J120" i="4"/>
  <c r="N29" i="2"/>
  <c r="O29" i="2" s="1"/>
  <c r="P29" i="2" s="1"/>
  <c r="Q29" i="2" s="1"/>
  <c r="N25" i="2"/>
  <c r="O25" i="2" s="1"/>
  <c r="P25" i="2" s="1"/>
  <c r="Q25" i="2" s="1"/>
  <c r="J115" i="4"/>
  <c r="J153" i="4"/>
  <c r="J163" i="4"/>
  <c r="J108" i="4"/>
  <c r="I162" i="4"/>
  <c r="I161" i="4"/>
  <c r="I160" i="4"/>
  <c r="I159" i="4"/>
  <c r="I157" i="4"/>
  <c r="I156" i="4"/>
  <c r="I155" i="4"/>
  <c r="I154" i="4"/>
  <c r="J154" i="4" s="1"/>
  <c r="J158" i="4" s="1"/>
  <c r="I152" i="4"/>
  <c r="I151" i="4"/>
  <c r="I150" i="4"/>
  <c r="I149" i="4"/>
  <c r="I147" i="4"/>
  <c r="I146" i="4"/>
  <c r="I145" i="4"/>
  <c r="I144" i="4"/>
  <c r="J144" i="4" s="1"/>
  <c r="J148" i="4" s="1"/>
  <c r="I125" i="4"/>
  <c r="I124" i="4"/>
  <c r="I123" i="4"/>
  <c r="I122" i="4"/>
  <c r="I119" i="4"/>
  <c r="I118" i="4"/>
  <c r="I117" i="4"/>
  <c r="I116" i="4"/>
  <c r="I114" i="4"/>
  <c r="I113" i="4"/>
  <c r="I112" i="4"/>
  <c r="I111" i="4"/>
  <c r="I110" i="4"/>
  <c r="I109"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J23" i="4" s="1"/>
  <c r="I22" i="4"/>
  <c r="J22" i="4" s="1"/>
  <c r="I21" i="4"/>
  <c r="J21" i="4" s="1"/>
  <c r="I19" i="4"/>
  <c r="I18" i="4"/>
  <c r="I17" i="4"/>
  <c r="I16" i="4"/>
  <c r="I15" i="4"/>
  <c r="I14" i="4"/>
  <c r="I13" i="4"/>
  <c r="I12" i="4"/>
  <c r="J12" i="4" s="1"/>
  <c r="I11" i="4"/>
  <c r="J11" i="4" s="1"/>
  <c r="I10" i="4"/>
  <c r="J10" i="4" s="1"/>
  <c r="I9" i="4"/>
  <c r="J9" i="4" s="1"/>
  <c r="I4" i="4"/>
  <c r="I5" i="4"/>
  <c r="I6" i="4"/>
  <c r="I7" i="4"/>
  <c r="I3" i="4"/>
  <c r="J3" i="4" s="1"/>
  <c r="J8" i="4" s="1"/>
  <c r="B23" i="5"/>
  <c r="B24" i="5"/>
  <c r="B25" i="5"/>
  <c r="B26" i="5"/>
  <c r="B27" i="5"/>
  <c r="B28" i="5"/>
  <c r="J61" i="4" l="1"/>
  <c r="J20" i="4"/>
  <c r="G27" i="7"/>
  <c r="G26" i="7"/>
  <c r="J175" i="4"/>
  <c r="E35" i="7" s="1"/>
  <c r="V162" i="4"/>
  <c r="U162" i="4"/>
  <c r="T162" i="4"/>
  <c r="O162" i="4"/>
  <c r="V160" i="4"/>
  <c r="U160" i="4"/>
  <c r="T160" i="4"/>
  <c r="O160" i="4"/>
  <c r="V159" i="4"/>
  <c r="U159" i="4"/>
  <c r="T159" i="4"/>
  <c r="O159" i="4"/>
  <c r="E34" i="7"/>
  <c r="V157" i="4"/>
  <c r="U157" i="4"/>
  <c r="T157" i="4"/>
  <c r="O157" i="4"/>
  <c r="V155" i="4"/>
  <c r="U155" i="4"/>
  <c r="T155" i="4"/>
  <c r="O155" i="4"/>
  <c r="V154" i="4"/>
  <c r="U154" i="4"/>
  <c r="T154" i="4"/>
  <c r="O154" i="4"/>
  <c r="E33" i="7"/>
  <c r="V152" i="4"/>
  <c r="U152" i="4"/>
  <c r="T152" i="4"/>
  <c r="O152" i="4"/>
  <c r="V150" i="4"/>
  <c r="U150" i="4"/>
  <c r="T150" i="4"/>
  <c r="O150" i="4"/>
  <c r="V149" i="4"/>
  <c r="U149" i="4"/>
  <c r="T149" i="4"/>
  <c r="O149" i="4"/>
  <c r="E32" i="7"/>
  <c r="V147" i="4"/>
  <c r="U147" i="4"/>
  <c r="T147" i="4"/>
  <c r="O147" i="4"/>
  <c r="V145" i="4"/>
  <c r="U145" i="4"/>
  <c r="T145" i="4"/>
  <c r="O145" i="4"/>
  <c r="V144" i="4"/>
  <c r="U144" i="4"/>
  <c r="T144" i="4"/>
  <c r="O144" i="4"/>
  <c r="E31" i="7"/>
  <c r="V119" i="4"/>
  <c r="U119" i="4"/>
  <c r="T119" i="4"/>
  <c r="O119" i="4"/>
  <c r="V117" i="4"/>
  <c r="U117" i="4"/>
  <c r="T117" i="4"/>
  <c r="O117" i="4"/>
  <c r="V116" i="4"/>
  <c r="U116" i="4"/>
  <c r="T116" i="4"/>
  <c r="O116" i="4"/>
  <c r="G25" i="7"/>
  <c r="G24" i="7"/>
  <c r="G20" i="21"/>
  <c r="E21" i="21"/>
  <c r="F21" i="21"/>
  <c r="E5" i="7" s="1"/>
  <c r="B21" i="21"/>
  <c r="D121" i="4" s="1"/>
  <c r="I121" i="4" s="1"/>
  <c r="J121" i="4" s="1"/>
  <c r="J126" i="4" s="1"/>
  <c r="B22" i="5"/>
  <c r="B21" i="5"/>
  <c r="B20" i="5"/>
  <c r="B19" i="5"/>
  <c r="B18" i="5"/>
  <c r="B17" i="5"/>
  <c r="B16" i="5"/>
  <c r="B15" i="5"/>
  <c r="B14" i="5"/>
  <c r="B13" i="5"/>
  <c r="B12" i="5"/>
  <c r="B11" i="5"/>
  <c r="B10" i="5"/>
  <c r="B9" i="5"/>
  <c r="C13" i="19" l="1"/>
  <c r="E4" i="7"/>
  <c r="E13" i="7"/>
  <c r="C11" i="19" l="1"/>
  <c r="C5" i="19"/>
  <c r="C4" i="19"/>
  <c r="E27" i="7"/>
  <c r="E26" i="7"/>
  <c r="E25" i="7"/>
  <c r="E24" i="7"/>
  <c r="D8" i="21" l="1"/>
  <c r="G8" i="21" s="1"/>
  <c r="D9" i="21"/>
  <c r="G9" i="21" s="1"/>
  <c r="D10" i="21"/>
  <c r="G10" i="21" s="1"/>
  <c r="D11" i="21"/>
  <c r="G11" i="21" s="1"/>
  <c r="D12" i="21"/>
  <c r="G12" i="21" s="1"/>
  <c r="D13" i="21"/>
  <c r="G13" i="21" s="1"/>
  <c r="D19" i="21"/>
  <c r="G19" i="21" s="1"/>
  <c r="D18" i="21"/>
  <c r="G18" i="21" s="1"/>
  <c r="D17" i="21"/>
  <c r="G17" i="21" s="1"/>
  <c r="D16" i="21"/>
  <c r="G16" i="21" s="1"/>
  <c r="D15" i="21"/>
  <c r="G15" i="21" s="1"/>
  <c r="D14" i="21"/>
  <c r="G14" i="21" s="1"/>
  <c r="C33" i="5"/>
  <c r="C63" i="4"/>
  <c r="D64" i="4"/>
  <c r="J64" i="4" s="1"/>
  <c r="C65" i="4"/>
  <c r="D65" i="4" s="1"/>
  <c r="J65" i="4" s="1"/>
  <c r="C66" i="4"/>
  <c r="D66" i="4" s="1"/>
  <c r="J66" i="4" s="1"/>
  <c r="C67" i="4"/>
  <c r="D67" i="4" s="1"/>
  <c r="J67" i="4" s="1"/>
  <c r="C62" i="4"/>
  <c r="N6" i="3"/>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5" i="3"/>
  <c r="E7" i="7"/>
  <c r="C16" i="19" s="1"/>
  <c r="E8" i="7"/>
  <c r="C17" i="19" s="1"/>
  <c r="D63" i="4" l="1"/>
  <c r="D62" i="4"/>
  <c r="I67" i="4"/>
  <c r="I65" i="4"/>
  <c r="I66" i="4"/>
  <c r="I64" i="4"/>
  <c r="I69" i="4"/>
  <c r="J69" i="4" s="1"/>
  <c r="G21" i="21"/>
  <c r="D21" i="21"/>
  <c r="K15" i="2"/>
  <c r="L15" i="2" s="1"/>
  <c r="K14" i="2"/>
  <c r="L14" i="2" s="1"/>
  <c r="K13" i="2"/>
  <c r="L13" i="2" s="1"/>
  <c r="K12" i="2"/>
  <c r="L12" i="2" s="1"/>
  <c r="K11" i="2"/>
  <c r="L11" i="2" s="1"/>
  <c r="K21" i="2"/>
  <c r="N21" i="2" s="1"/>
  <c r="K20" i="2"/>
  <c r="N20" i="2" s="1"/>
  <c r="O20" i="2" s="1"/>
  <c r="I63" i="4" l="1"/>
  <c r="J63" i="4" s="1"/>
  <c r="I62" i="4"/>
  <c r="J62" i="4" s="1"/>
  <c r="C21" i="21"/>
  <c r="C12" i="19" s="1"/>
  <c r="C14" i="19" s="1"/>
  <c r="E3" i="7"/>
  <c r="E6" i="7" s="1"/>
  <c r="L20" i="2"/>
  <c r="N12" i="2"/>
  <c r="O12" i="2" s="1"/>
  <c r="N14" i="2"/>
  <c r="O14" i="2" s="1"/>
  <c r="N11" i="2"/>
  <c r="O11" i="2" s="1"/>
  <c r="N13" i="2"/>
  <c r="O13" i="2" s="1"/>
  <c r="N15" i="2"/>
  <c r="O15" i="2" s="1"/>
  <c r="O21" i="2"/>
  <c r="P21" i="2" s="1"/>
  <c r="Q21" i="2" s="1"/>
  <c r="L21" i="2"/>
  <c r="P20" i="2"/>
  <c r="Q20" i="2" s="1"/>
  <c r="K9" i="2"/>
  <c r="K7" i="2"/>
  <c r="J68" i="4" l="1"/>
  <c r="J70" i="4" s="1"/>
  <c r="P15" i="2"/>
  <c r="Q15" i="2" s="1"/>
  <c r="P13" i="2"/>
  <c r="Q13" i="2" s="1"/>
  <c r="P11" i="2"/>
  <c r="Q11" i="2" s="1"/>
  <c r="P12" i="2"/>
  <c r="Q12" i="2" s="1"/>
  <c r="P14" i="2"/>
  <c r="Q14" i="2" s="1"/>
  <c r="A1" i="3" l="1"/>
  <c r="AN30" i="5" l="1"/>
  <c r="D128" i="4" s="1"/>
  <c r="I128" i="4" s="1"/>
  <c r="J128" i="4" s="1"/>
  <c r="E1" i="2"/>
  <c r="O125" i="4"/>
  <c r="O123" i="4"/>
  <c r="O122" i="4"/>
  <c r="O121" i="4"/>
  <c r="O114" i="4"/>
  <c r="O113" i="4"/>
  <c r="O112" i="4"/>
  <c r="O111" i="4"/>
  <c r="O110" i="4"/>
  <c r="O109" i="4"/>
  <c r="O142" i="4"/>
  <c r="O141" i="4"/>
  <c r="O140" i="4"/>
  <c r="O139" i="4"/>
  <c r="O107" i="4"/>
  <c r="O106" i="4"/>
  <c r="O105" i="4"/>
  <c r="O104" i="4"/>
  <c r="O103" i="4"/>
  <c r="O102" i="4"/>
  <c r="O101" i="4"/>
  <c r="O100" i="4"/>
  <c r="O99" i="4"/>
  <c r="O98" i="4"/>
  <c r="O97" i="4"/>
  <c r="O96" i="4"/>
  <c r="O95" i="4"/>
  <c r="O94" i="4"/>
  <c r="O93" i="4"/>
  <c r="O92" i="4"/>
  <c r="O91" i="4"/>
  <c r="O90" i="4"/>
  <c r="O89" i="4"/>
  <c r="O69" i="4"/>
  <c r="O67" i="4"/>
  <c r="O66" i="4"/>
  <c r="O60" i="4"/>
  <c r="O59" i="4"/>
  <c r="K5" i="2"/>
  <c r="N5" i="2" s="1"/>
  <c r="N9" i="2"/>
  <c r="K10" i="2"/>
  <c r="N10" i="2" s="1"/>
  <c r="O10" i="2" s="1"/>
  <c r="P10" i="2" s="1"/>
  <c r="Q10" i="2" s="1"/>
  <c r="Q6" i="2"/>
  <c r="R6" i="2" s="1"/>
  <c r="S6" i="2" s="1"/>
  <c r="N31" i="2"/>
  <c r="K32" i="2"/>
  <c r="N32" i="2" s="1"/>
  <c r="O32" i="2" s="1"/>
  <c r="P32" i="2" s="1"/>
  <c r="Q32" i="2" s="1"/>
  <c r="R32" i="2" s="1"/>
  <c r="S32" i="2" s="1"/>
  <c r="K6" i="2"/>
  <c r="N6" i="2" s="1"/>
  <c r="O6" i="2" s="1"/>
  <c r="P6" i="2" s="1"/>
  <c r="Q7" i="2"/>
  <c r="R7" i="2" s="1"/>
  <c r="S7" i="2" s="1"/>
  <c r="Q16" i="2"/>
  <c r="R16" i="2" s="1"/>
  <c r="S16" i="2" s="1"/>
  <c r="Q17" i="2"/>
  <c r="R17" i="2" s="1"/>
  <c r="S17" i="2" s="1"/>
  <c r="Q18" i="2"/>
  <c r="R18" i="2" s="1"/>
  <c r="S18" i="2" s="1"/>
  <c r="Q33" i="2"/>
  <c r="R33" i="2" s="1"/>
  <c r="S33" i="2" s="1"/>
  <c r="Q36" i="2"/>
  <c r="R36" i="2" s="1"/>
  <c r="Q35" i="2"/>
  <c r="R35" i="2" s="1"/>
  <c r="K36" i="2"/>
  <c r="K35" i="2"/>
  <c r="K33" i="2"/>
  <c r="N33" i="2" s="1"/>
  <c r="K16" i="2"/>
  <c r="N16" i="2" s="1"/>
  <c r="O16" i="2" s="1"/>
  <c r="P16" i="2" s="1"/>
  <c r="K17" i="2"/>
  <c r="N17" i="2" s="1"/>
  <c r="O17" i="2" s="1"/>
  <c r="K18" i="2"/>
  <c r="N18" i="2" s="1"/>
  <c r="O18" i="2" s="1"/>
  <c r="P18" i="2" s="1"/>
  <c r="N7" i="2"/>
  <c r="H1" i="7"/>
  <c r="G30" i="7"/>
  <c r="D1" i="3"/>
  <c r="W1" i="4"/>
  <c r="T59" i="4"/>
  <c r="U59" i="4"/>
  <c r="V59" i="4"/>
  <c r="T60" i="4"/>
  <c r="U60" i="4"/>
  <c r="V60" i="4"/>
  <c r="T66" i="4"/>
  <c r="U66" i="4"/>
  <c r="V66" i="4"/>
  <c r="T67" i="4"/>
  <c r="U67" i="4"/>
  <c r="V67" i="4"/>
  <c r="T69" i="4"/>
  <c r="U69" i="4"/>
  <c r="V69" i="4"/>
  <c r="T89" i="4"/>
  <c r="U89" i="4"/>
  <c r="V89" i="4"/>
  <c r="T90" i="4"/>
  <c r="U90" i="4"/>
  <c r="V90" i="4"/>
  <c r="T91" i="4"/>
  <c r="U91" i="4"/>
  <c r="V91" i="4"/>
  <c r="T92" i="4"/>
  <c r="U92" i="4"/>
  <c r="V92" i="4"/>
  <c r="T93" i="4"/>
  <c r="U93" i="4"/>
  <c r="V93" i="4"/>
  <c r="T94" i="4"/>
  <c r="U94" i="4"/>
  <c r="V94" i="4"/>
  <c r="T95" i="4"/>
  <c r="U95" i="4"/>
  <c r="V95" i="4"/>
  <c r="T96" i="4"/>
  <c r="U96" i="4"/>
  <c r="V96" i="4"/>
  <c r="T97" i="4"/>
  <c r="U97" i="4"/>
  <c r="V97" i="4"/>
  <c r="T98" i="4"/>
  <c r="U98" i="4"/>
  <c r="V98" i="4"/>
  <c r="T99" i="4"/>
  <c r="U99" i="4"/>
  <c r="V99" i="4"/>
  <c r="T100" i="4"/>
  <c r="U100" i="4"/>
  <c r="V100" i="4"/>
  <c r="T101" i="4"/>
  <c r="U101" i="4"/>
  <c r="V101" i="4"/>
  <c r="T102" i="4"/>
  <c r="U102" i="4"/>
  <c r="V102" i="4"/>
  <c r="T103" i="4"/>
  <c r="U103" i="4"/>
  <c r="V103" i="4"/>
  <c r="T104" i="4"/>
  <c r="U104" i="4"/>
  <c r="V104" i="4"/>
  <c r="T105" i="4"/>
  <c r="U105" i="4"/>
  <c r="V105" i="4"/>
  <c r="T106" i="4"/>
  <c r="U106" i="4"/>
  <c r="V106" i="4"/>
  <c r="T107" i="4"/>
  <c r="U107" i="4"/>
  <c r="V107" i="4"/>
  <c r="T139" i="4"/>
  <c r="U139" i="4"/>
  <c r="V139" i="4"/>
  <c r="T140" i="4"/>
  <c r="U140" i="4"/>
  <c r="V140" i="4"/>
  <c r="T141" i="4"/>
  <c r="U141" i="4"/>
  <c r="V141" i="4"/>
  <c r="T142" i="4"/>
  <c r="U142" i="4"/>
  <c r="V142" i="4"/>
  <c r="T109" i="4"/>
  <c r="U109" i="4"/>
  <c r="V109" i="4"/>
  <c r="T110" i="4"/>
  <c r="U110" i="4"/>
  <c r="V110" i="4"/>
  <c r="T111" i="4"/>
  <c r="U111" i="4"/>
  <c r="V111" i="4"/>
  <c r="T112" i="4"/>
  <c r="U112" i="4"/>
  <c r="V112" i="4"/>
  <c r="T113" i="4"/>
  <c r="U113" i="4"/>
  <c r="V113" i="4"/>
  <c r="T114" i="4"/>
  <c r="U114" i="4"/>
  <c r="V114" i="4"/>
  <c r="T121" i="4"/>
  <c r="U121" i="4"/>
  <c r="V121" i="4"/>
  <c r="T122" i="4"/>
  <c r="U122" i="4"/>
  <c r="V122" i="4"/>
  <c r="T123" i="4"/>
  <c r="U123" i="4"/>
  <c r="V123" i="4"/>
  <c r="T125" i="4"/>
  <c r="U125" i="4"/>
  <c r="V125" i="4"/>
  <c r="Q1" i="2"/>
  <c r="L7" i="2"/>
  <c r="L9" i="2"/>
  <c r="N43" i="2"/>
  <c r="O43" i="2" s="1"/>
  <c r="N46" i="2"/>
  <c r="O46" i="2" s="1"/>
  <c r="L17" i="2" l="1"/>
  <c r="L6" i="2"/>
  <c r="N35" i="2"/>
  <c r="O35" i="2" s="1"/>
  <c r="P35" i="2" s="1"/>
  <c r="N36" i="2"/>
  <c r="O36" i="2" s="1"/>
  <c r="L32" i="2"/>
  <c r="R29" i="2"/>
  <c r="S29" i="2" s="1"/>
  <c r="R25" i="2"/>
  <c r="S25" i="2" s="1"/>
  <c r="R30" i="2"/>
  <c r="S30" i="2" s="1"/>
  <c r="R26" i="2"/>
  <c r="S26" i="2" s="1"/>
  <c r="R22" i="2"/>
  <c r="S22" i="2" s="1"/>
  <c r="R27" i="2"/>
  <c r="S27" i="2" s="1"/>
  <c r="R23" i="2"/>
  <c r="S23" i="2" s="1"/>
  <c r="R28" i="2"/>
  <c r="S28" i="2" s="1"/>
  <c r="R24" i="2"/>
  <c r="S24" i="2" s="1"/>
  <c r="E12" i="7"/>
  <c r="C24" i="19" s="1"/>
  <c r="E14" i="7"/>
  <c r="C22" i="19" s="1"/>
  <c r="E28" i="7"/>
  <c r="E11" i="7"/>
  <c r="C20" i="19" s="1"/>
  <c r="E10" i="7"/>
  <c r="C19" i="19" s="1"/>
  <c r="E9" i="7"/>
  <c r="C18" i="19" s="1"/>
  <c r="L18" i="2"/>
  <c r="L10" i="2"/>
  <c r="L5" i="2"/>
  <c r="L8" i="2" s="1"/>
  <c r="L16" i="2"/>
  <c r="L35" i="2"/>
  <c r="R15" i="2"/>
  <c r="S15" i="2" s="1"/>
  <c r="R11" i="2"/>
  <c r="S11" i="2" s="1"/>
  <c r="R13" i="2"/>
  <c r="S13" i="2" s="1"/>
  <c r="R14" i="2"/>
  <c r="S14" i="2" s="1"/>
  <c r="R12" i="2"/>
  <c r="S12" i="2" s="1"/>
  <c r="K19" i="2"/>
  <c r="N8" i="2"/>
  <c r="R21" i="2"/>
  <c r="S21" i="2" s="1"/>
  <c r="R20" i="2"/>
  <c r="S20" i="2" s="1"/>
  <c r="Q37" i="2"/>
  <c r="O5" i="2"/>
  <c r="P5" i="2" s="1"/>
  <c r="Q5" i="2" s="1"/>
  <c r="R5" i="2" s="1"/>
  <c r="S5" i="2" s="1"/>
  <c r="S8" i="2" s="1"/>
  <c r="K8" i="2"/>
  <c r="N34" i="2"/>
  <c r="N19" i="2"/>
  <c r="R10" i="2"/>
  <c r="S10" i="2" s="1"/>
  <c r="R37" i="2"/>
  <c r="O9" i="2"/>
  <c r="P9" i="2" s="1"/>
  <c r="Q9" i="2" s="1"/>
  <c r="R9" i="2" s="1"/>
  <c r="S9" i="2" s="1"/>
  <c r="O7" i="2"/>
  <c r="P7" i="2" s="1"/>
  <c r="O33" i="2"/>
  <c r="P33" i="2" s="1"/>
  <c r="L36" i="2"/>
  <c r="K34" i="2"/>
  <c r="L33" i="2"/>
  <c r="P17" i="2"/>
  <c r="O31" i="2"/>
  <c r="P31" i="2" s="1"/>
  <c r="Q31" i="2" s="1"/>
  <c r="R31" i="2" s="1"/>
  <c r="S31" i="2" s="1"/>
  <c r="F2" i="7"/>
  <c r="P36" i="2" l="1"/>
  <c r="P37" i="2" s="1"/>
  <c r="H37" i="2" s="1"/>
  <c r="O37" i="2"/>
  <c r="L19" i="2"/>
  <c r="N37" i="2"/>
  <c r="N38" i="2" s="1"/>
  <c r="F34" i="7"/>
  <c r="F5" i="7"/>
  <c r="E21" i="7"/>
  <c r="E15" i="7"/>
  <c r="C21" i="19"/>
  <c r="F21" i="7"/>
  <c r="F35" i="7"/>
  <c r="L37" i="2"/>
  <c r="R45" i="2"/>
  <c r="P8" i="2"/>
  <c r="Q8" i="2"/>
  <c r="K38" i="2"/>
  <c r="L34" i="2"/>
  <c r="F3" i="7"/>
  <c r="F32" i="7"/>
  <c r="R8" i="2"/>
  <c r="O8" i="2"/>
  <c r="F33" i="7"/>
  <c r="F31" i="7"/>
  <c r="O19" i="2"/>
  <c r="O42" i="2" s="1"/>
  <c r="O44" i="2" s="1"/>
  <c r="O45" i="2" s="1"/>
  <c r="O47" i="2" s="1"/>
  <c r="O34" i="2"/>
  <c r="E29" i="7"/>
  <c r="C23" i="19" s="1"/>
  <c r="F25" i="7"/>
  <c r="F28" i="7"/>
  <c r="F7" i="7"/>
  <c r="F12" i="7"/>
  <c r="F14" i="7"/>
  <c r="F8" i="7"/>
  <c r="F24" i="7"/>
  <c r="F27" i="7"/>
  <c r="F13" i="7"/>
  <c r="F9" i="7"/>
  <c r="F11" i="7"/>
  <c r="L38" i="2" l="1"/>
  <c r="L39" i="2" s="1"/>
  <c r="E18" i="7"/>
  <c r="F18" i="7" s="1"/>
  <c r="R42" i="2"/>
  <c r="F4" i="7"/>
  <c r="F6" i="7" s="1"/>
  <c r="F26" i="7"/>
  <c r="F29" i="7" s="1"/>
  <c r="P34" i="2"/>
  <c r="O38" i="2"/>
  <c r="L42" i="2" s="1"/>
  <c r="L44" i="2" s="1"/>
  <c r="L45" i="2" s="1"/>
  <c r="L47" i="2" s="1"/>
  <c r="E30" i="7" s="1"/>
  <c r="E36" i="7" s="1"/>
  <c r="N42" i="2"/>
  <c r="N44" i="2" s="1"/>
  <c r="N45" i="2" s="1"/>
  <c r="N47" i="2" s="1"/>
  <c r="P19" i="2"/>
  <c r="AN29" i="5" l="1"/>
  <c r="D127" i="4" s="1"/>
  <c r="I127" i="4" s="1"/>
  <c r="J127" i="4" s="1"/>
  <c r="J132" i="4" s="1"/>
  <c r="E22" i="7" s="1"/>
  <c r="AE10" i="5"/>
  <c r="AI10" i="5"/>
  <c r="AM10" i="5"/>
  <c r="AH11" i="5"/>
  <c r="AL11" i="5"/>
  <c r="AG12" i="5"/>
  <c r="AK12" i="5"/>
  <c r="AF13" i="5"/>
  <c r="AJ13" i="5"/>
  <c r="AE14" i="5"/>
  <c r="AI14" i="5"/>
  <c r="AM14" i="5"/>
  <c r="AH15" i="5"/>
  <c r="AL15" i="5"/>
  <c r="AG16" i="5"/>
  <c r="AK16" i="5"/>
  <c r="AF17" i="5"/>
  <c r="AJ17" i="5"/>
  <c r="AE18" i="5"/>
  <c r="AI18" i="5"/>
  <c r="AM18" i="5"/>
  <c r="AH19" i="5"/>
  <c r="AL19" i="5"/>
  <c r="AG20" i="5"/>
  <c r="AK20" i="5"/>
  <c r="AF21" i="5"/>
  <c r="AJ21" i="5"/>
  <c r="AE22" i="5"/>
  <c r="AI22" i="5"/>
  <c r="AM22" i="5"/>
  <c r="AH23" i="5"/>
  <c r="AL23" i="5"/>
  <c r="AG24" i="5"/>
  <c r="AK24" i="5"/>
  <c r="AF25" i="5"/>
  <c r="AJ25" i="5"/>
  <c r="AE26" i="5"/>
  <c r="AI26" i="5"/>
  <c r="AM26" i="5"/>
  <c r="AH27" i="5"/>
  <c r="AL27" i="5"/>
  <c r="AG28" i="5"/>
  <c r="AK28" i="5"/>
  <c r="AG10" i="5"/>
  <c r="AK10" i="5"/>
  <c r="AF11" i="5"/>
  <c r="AJ11" i="5"/>
  <c r="AE12" i="5"/>
  <c r="AI12" i="5"/>
  <c r="AM12" i="5"/>
  <c r="AH13" i="5"/>
  <c r="AL13" i="5"/>
  <c r="AG14" i="5"/>
  <c r="AK14" i="5"/>
  <c r="AF15" i="5"/>
  <c r="AJ15" i="5"/>
  <c r="AE16" i="5"/>
  <c r="AI16" i="5"/>
  <c r="AM16" i="5"/>
  <c r="AH17" i="5"/>
  <c r="AL17" i="5"/>
  <c r="AG18" i="5"/>
  <c r="AK18" i="5"/>
  <c r="AF19" i="5"/>
  <c r="AJ19" i="5"/>
  <c r="AE20" i="5"/>
  <c r="AI20" i="5"/>
  <c r="AM20" i="5"/>
  <c r="AH21" i="5"/>
  <c r="AL21" i="5"/>
  <c r="AG22" i="5"/>
  <c r="AK22" i="5"/>
  <c r="AF23" i="5"/>
  <c r="AJ23" i="5"/>
  <c r="AE24" i="5"/>
  <c r="AI24" i="5"/>
  <c r="AM24" i="5"/>
  <c r="AH25" i="5"/>
  <c r="AL25" i="5"/>
  <c r="AG26" i="5"/>
  <c r="AK26" i="5"/>
  <c r="AF27" i="5"/>
  <c r="AJ27" i="5"/>
  <c r="AE28" i="5"/>
  <c r="AI28" i="5"/>
  <c r="AM28" i="5"/>
  <c r="AL9" i="5"/>
  <c r="AH9" i="5"/>
  <c r="S10" i="5"/>
  <c r="W10" i="5"/>
  <c r="AA10" i="5"/>
  <c r="S11" i="5"/>
  <c r="W11" i="5"/>
  <c r="AA11" i="5"/>
  <c r="S12" i="5"/>
  <c r="W12" i="5"/>
  <c r="AA12" i="5"/>
  <c r="S13" i="5"/>
  <c r="W13" i="5"/>
  <c r="AA13" i="5"/>
  <c r="S14" i="5"/>
  <c r="W14" i="5"/>
  <c r="AA14" i="5"/>
  <c r="S15" i="5"/>
  <c r="W15" i="5"/>
  <c r="AA15" i="5"/>
  <c r="S16" i="5"/>
  <c r="W16" i="5"/>
  <c r="AA16" i="5"/>
  <c r="S17" i="5"/>
  <c r="W17" i="5"/>
  <c r="AA17" i="5"/>
  <c r="S18" i="5"/>
  <c r="W18" i="5"/>
  <c r="AA18" i="5"/>
  <c r="S19" i="5"/>
  <c r="W19" i="5"/>
  <c r="AA19" i="5"/>
  <c r="S20" i="5"/>
  <c r="W20" i="5"/>
  <c r="AA20" i="5"/>
  <c r="S21" i="5"/>
  <c r="W21" i="5"/>
  <c r="AA21" i="5"/>
  <c r="S22" i="5"/>
  <c r="W22" i="5"/>
  <c r="AA22" i="5"/>
  <c r="S23" i="5"/>
  <c r="W23" i="5"/>
  <c r="AA23" i="5"/>
  <c r="S24" i="5"/>
  <c r="W24" i="5"/>
  <c r="AA24" i="5"/>
  <c r="S25" i="5"/>
  <c r="W25" i="5"/>
  <c r="AA25" i="5"/>
  <c r="S26" i="5"/>
  <c r="D9" i="5"/>
  <c r="AH10" i="5"/>
  <c r="AL10" i="5"/>
  <c r="AG11" i="5"/>
  <c r="AK11" i="5"/>
  <c r="AF12" i="5"/>
  <c r="AJ12" i="5"/>
  <c r="AE13" i="5"/>
  <c r="AI13" i="5"/>
  <c r="AM13" i="5"/>
  <c r="AH14" i="5"/>
  <c r="AL14" i="5"/>
  <c r="AG15" i="5"/>
  <c r="AK15" i="5"/>
  <c r="AF16" i="5"/>
  <c r="AJ16" i="5"/>
  <c r="AE17" i="5"/>
  <c r="AI17" i="5"/>
  <c r="AM17" i="5"/>
  <c r="AH18" i="5"/>
  <c r="AL18" i="5"/>
  <c r="AG19" i="5"/>
  <c r="AK19" i="5"/>
  <c r="AF20" i="5"/>
  <c r="AJ20" i="5"/>
  <c r="AE21" i="5"/>
  <c r="AI21" i="5"/>
  <c r="AM21" i="5"/>
  <c r="AH22" i="5"/>
  <c r="AL22" i="5"/>
  <c r="AG23" i="5"/>
  <c r="AK23" i="5"/>
  <c r="AF24" i="5"/>
  <c r="AJ24" i="5"/>
  <c r="AE25" i="5"/>
  <c r="AI25" i="5"/>
  <c r="AM25" i="5"/>
  <c r="AH26" i="5"/>
  <c r="AL26" i="5"/>
  <c r="AG27" i="5"/>
  <c r="AK27" i="5"/>
  <c r="AF28" i="5"/>
  <c r="AJ28" i="5"/>
  <c r="AJ9" i="5"/>
  <c r="AF9" i="5"/>
  <c r="U10" i="5"/>
  <c r="Y10" i="5"/>
  <c r="AC10" i="5"/>
  <c r="U11" i="5"/>
  <c r="Y11" i="5"/>
  <c r="AC11" i="5"/>
  <c r="U12" i="5"/>
  <c r="Y12" i="5"/>
  <c r="AC12" i="5"/>
  <c r="U13" i="5"/>
  <c r="Y13" i="5"/>
  <c r="AC13" i="5"/>
  <c r="U14" i="5"/>
  <c r="Y14" i="5"/>
  <c r="AC14" i="5"/>
  <c r="U15" i="5"/>
  <c r="Y15" i="5"/>
  <c r="AC15" i="5"/>
  <c r="U16" i="5"/>
  <c r="Y16" i="5"/>
  <c r="AC16" i="5"/>
  <c r="U17" i="5"/>
  <c r="Y17" i="5"/>
  <c r="AC17" i="5"/>
  <c r="U18" i="5"/>
  <c r="Y18" i="5"/>
  <c r="AC18" i="5"/>
  <c r="U19" i="5"/>
  <c r="Y19" i="5"/>
  <c r="AC19" i="5"/>
  <c r="U20" i="5"/>
  <c r="Y20" i="5"/>
  <c r="AC20" i="5"/>
  <c r="U21" i="5"/>
  <c r="Y21" i="5"/>
  <c r="AC21" i="5"/>
  <c r="U22" i="5"/>
  <c r="Y22" i="5"/>
  <c r="AC22" i="5"/>
  <c r="U23" i="5"/>
  <c r="Y23" i="5"/>
  <c r="AC23" i="5"/>
  <c r="U24" i="5"/>
  <c r="Y24" i="5"/>
  <c r="AC24" i="5"/>
  <c r="U25" i="5"/>
  <c r="Y25" i="5"/>
  <c r="AC25" i="5"/>
  <c r="U26" i="5"/>
  <c r="AF10" i="5"/>
  <c r="AJ10" i="5"/>
  <c r="AE11" i="5"/>
  <c r="AI11" i="5"/>
  <c r="AM11" i="5"/>
  <c r="AH12" i="5"/>
  <c r="AL12" i="5"/>
  <c r="AG13" i="5"/>
  <c r="AK13" i="5"/>
  <c r="AF14" i="5"/>
  <c r="AJ14" i="5"/>
  <c r="AE15" i="5"/>
  <c r="AI15" i="5"/>
  <c r="AM15" i="5"/>
  <c r="AH16" i="5"/>
  <c r="AL16" i="5"/>
  <c r="AG17" i="5"/>
  <c r="AK17" i="5"/>
  <c r="AF18" i="5"/>
  <c r="AJ18" i="5"/>
  <c r="AE19" i="5"/>
  <c r="AI19" i="5"/>
  <c r="AM19" i="5"/>
  <c r="AH20" i="5"/>
  <c r="AL20" i="5"/>
  <c r="AG21" i="5"/>
  <c r="AK21" i="5"/>
  <c r="AF22" i="5"/>
  <c r="AJ22" i="5"/>
  <c r="AE23" i="5"/>
  <c r="AI23" i="5"/>
  <c r="AM23" i="5"/>
  <c r="AH24" i="5"/>
  <c r="AL24" i="5"/>
  <c r="AG25" i="5"/>
  <c r="AK25" i="5"/>
  <c r="AF26" i="5"/>
  <c r="AJ26" i="5"/>
  <c r="AE27" i="5"/>
  <c r="AI27" i="5"/>
  <c r="AM27" i="5"/>
  <c r="AH28" i="5"/>
  <c r="AL28" i="5"/>
  <c r="AK9" i="5"/>
  <c r="AG9" i="5"/>
  <c r="T10" i="5"/>
  <c r="X10" i="5"/>
  <c r="AB10" i="5"/>
  <c r="T11" i="5"/>
  <c r="X11" i="5"/>
  <c r="AB11" i="5"/>
  <c r="T12" i="5"/>
  <c r="X12" i="5"/>
  <c r="AB12" i="5"/>
  <c r="T13" i="5"/>
  <c r="X13" i="5"/>
  <c r="AB13" i="5"/>
  <c r="T14" i="5"/>
  <c r="X14" i="5"/>
  <c r="AB14" i="5"/>
  <c r="T15" i="5"/>
  <c r="X15" i="5"/>
  <c r="AB15" i="5"/>
  <c r="T16" i="5"/>
  <c r="X16" i="5"/>
  <c r="AB16" i="5"/>
  <c r="T17" i="5"/>
  <c r="X17" i="5"/>
  <c r="AB17" i="5"/>
  <c r="T18" i="5"/>
  <c r="X18" i="5"/>
  <c r="AB18" i="5"/>
  <c r="T19" i="5"/>
  <c r="X19" i="5"/>
  <c r="AB19" i="5"/>
  <c r="T20" i="5"/>
  <c r="X20" i="5"/>
  <c r="AB20" i="5"/>
  <c r="T21" i="5"/>
  <c r="X21" i="5"/>
  <c r="AB21" i="5"/>
  <c r="T22" i="5"/>
  <c r="X22" i="5"/>
  <c r="AB22" i="5"/>
  <c r="T23" i="5"/>
  <c r="X23" i="5"/>
  <c r="AB23" i="5"/>
  <c r="T24" i="5"/>
  <c r="X24" i="5"/>
  <c r="AB24" i="5"/>
  <c r="T25" i="5"/>
  <c r="X25" i="5"/>
  <c r="AB25" i="5"/>
  <c r="W26" i="5"/>
  <c r="AA26" i="5"/>
  <c r="S27" i="5"/>
  <c r="W27" i="5"/>
  <c r="AA27" i="5"/>
  <c r="S28" i="5"/>
  <c r="W28" i="5"/>
  <c r="AA28" i="5"/>
  <c r="AM9" i="5"/>
  <c r="AI9" i="5"/>
  <c r="AE9" i="5"/>
  <c r="V10" i="5"/>
  <c r="Z10" i="5"/>
  <c r="AD10" i="5"/>
  <c r="V11" i="5"/>
  <c r="Z11" i="5"/>
  <c r="AD11" i="5"/>
  <c r="V12" i="5"/>
  <c r="Z12" i="5"/>
  <c r="AD12" i="5"/>
  <c r="V13" i="5"/>
  <c r="Z13" i="5"/>
  <c r="AD13" i="5"/>
  <c r="V14" i="5"/>
  <c r="Z14" i="5"/>
  <c r="AD14" i="5"/>
  <c r="V15" i="5"/>
  <c r="Z15" i="5"/>
  <c r="AD15" i="5"/>
  <c r="V16" i="5"/>
  <c r="Z16" i="5"/>
  <c r="AD16" i="5"/>
  <c r="V17" i="5"/>
  <c r="Z17" i="5"/>
  <c r="AD17" i="5"/>
  <c r="V18" i="5"/>
  <c r="Z18" i="5"/>
  <c r="AD18" i="5"/>
  <c r="V19" i="5"/>
  <c r="Z19" i="5"/>
  <c r="AD19" i="5"/>
  <c r="V20" i="5"/>
  <c r="Z20" i="5"/>
  <c r="AD20" i="5"/>
  <c r="V21" i="5"/>
  <c r="Z21" i="5"/>
  <c r="AD21" i="5"/>
  <c r="V22" i="5"/>
  <c r="Z22" i="5"/>
  <c r="AD22" i="5"/>
  <c r="V23" i="5"/>
  <c r="Z23" i="5"/>
  <c r="AD23" i="5"/>
  <c r="V24" i="5"/>
  <c r="Z24" i="5"/>
  <c r="AD24" i="5"/>
  <c r="V25" i="5"/>
  <c r="Z25" i="5"/>
  <c r="T26" i="5"/>
  <c r="Y26" i="5"/>
  <c r="AC26" i="5"/>
  <c r="U27" i="5"/>
  <c r="Y27" i="5"/>
  <c r="AC27" i="5"/>
  <c r="U28" i="5"/>
  <c r="Y28" i="5"/>
  <c r="AC28" i="5"/>
  <c r="AB9" i="5"/>
  <c r="X9" i="5"/>
  <c r="T9" i="5"/>
  <c r="N10" i="5"/>
  <c r="R10" i="5"/>
  <c r="P11" i="5"/>
  <c r="N12" i="5"/>
  <c r="R12" i="5"/>
  <c r="P13" i="5"/>
  <c r="N14" i="5"/>
  <c r="R14" i="5"/>
  <c r="P15" i="5"/>
  <c r="N16" i="5"/>
  <c r="R16" i="5"/>
  <c r="P17" i="5"/>
  <c r="N18" i="5"/>
  <c r="R18" i="5"/>
  <c r="P19" i="5"/>
  <c r="N20" i="5"/>
  <c r="R20" i="5"/>
  <c r="P21" i="5"/>
  <c r="N22" i="5"/>
  <c r="R22" i="5"/>
  <c r="P23" i="5"/>
  <c r="N24" i="5"/>
  <c r="R24" i="5"/>
  <c r="P25" i="5"/>
  <c r="N26" i="5"/>
  <c r="R26" i="5"/>
  <c r="P27" i="5"/>
  <c r="N28" i="5"/>
  <c r="R28" i="5"/>
  <c r="O9" i="5"/>
  <c r="G10" i="5"/>
  <c r="K10" i="5"/>
  <c r="G11" i="5"/>
  <c r="K11" i="5"/>
  <c r="G12" i="5"/>
  <c r="K12" i="5"/>
  <c r="G13" i="5"/>
  <c r="K13" i="5"/>
  <c r="G14" i="5"/>
  <c r="K14" i="5"/>
  <c r="G15" i="5"/>
  <c r="K15" i="5"/>
  <c r="G16" i="5"/>
  <c r="K16" i="5"/>
  <c r="G17" i="5"/>
  <c r="K17" i="5"/>
  <c r="G18" i="5"/>
  <c r="K18" i="5"/>
  <c r="G19" i="5"/>
  <c r="K19" i="5"/>
  <c r="G20" i="5"/>
  <c r="K20" i="5"/>
  <c r="G21" i="5"/>
  <c r="K21" i="5"/>
  <c r="G22" i="5"/>
  <c r="K22" i="5"/>
  <c r="G23" i="5"/>
  <c r="K23" i="5"/>
  <c r="G24" i="5"/>
  <c r="K24" i="5"/>
  <c r="G25" i="5"/>
  <c r="K25" i="5"/>
  <c r="G26" i="5"/>
  <c r="K26" i="5"/>
  <c r="G27" i="5"/>
  <c r="K27" i="5"/>
  <c r="G28" i="5"/>
  <c r="K28" i="5"/>
  <c r="AD25" i="5"/>
  <c r="X26" i="5"/>
  <c r="AB26" i="5"/>
  <c r="T27" i="5"/>
  <c r="X27" i="5"/>
  <c r="AB27" i="5"/>
  <c r="T28" i="5"/>
  <c r="X28" i="5"/>
  <c r="AB28" i="5"/>
  <c r="AC9" i="5"/>
  <c r="Y9" i="5"/>
  <c r="U9" i="5"/>
  <c r="M10" i="5"/>
  <c r="Q10" i="5"/>
  <c r="O11" i="5"/>
  <c r="M12" i="5"/>
  <c r="Q12" i="5"/>
  <c r="O13" i="5"/>
  <c r="M14" i="5"/>
  <c r="Q14" i="5"/>
  <c r="O15" i="5"/>
  <c r="M16" i="5"/>
  <c r="Q16" i="5"/>
  <c r="O17" i="5"/>
  <c r="M18" i="5"/>
  <c r="Q18" i="5"/>
  <c r="O19" i="5"/>
  <c r="M20" i="5"/>
  <c r="Q20" i="5"/>
  <c r="O21" i="5"/>
  <c r="M22" i="5"/>
  <c r="Q22" i="5"/>
  <c r="O23" i="5"/>
  <c r="M24" i="5"/>
  <c r="Q24" i="5"/>
  <c r="O25" i="5"/>
  <c r="M26" i="5"/>
  <c r="Q26" i="5"/>
  <c r="O27" i="5"/>
  <c r="M28" i="5"/>
  <c r="Q28" i="5"/>
  <c r="AD9" i="5"/>
  <c r="Z9" i="5"/>
  <c r="V9" i="5"/>
  <c r="M9" i="5"/>
  <c r="P10" i="5"/>
  <c r="N11" i="5"/>
  <c r="R11" i="5"/>
  <c r="P12" i="5"/>
  <c r="N13" i="5"/>
  <c r="R13" i="5"/>
  <c r="P14" i="5"/>
  <c r="N15" i="5"/>
  <c r="R15" i="5"/>
  <c r="P16" i="5"/>
  <c r="N17" i="5"/>
  <c r="R17" i="5"/>
  <c r="P18" i="5"/>
  <c r="N19" i="5"/>
  <c r="R19" i="5"/>
  <c r="P20" i="5"/>
  <c r="N21" i="5"/>
  <c r="R21" i="5"/>
  <c r="P22" i="5"/>
  <c r="N23" i="5"/>
  <c r="R23" i="5"/>
  <c r="P24" i="5"/>
  <c r="N25" i="5"/>
  <c r="R25" i="5"/>
  <c r="P26" i="5"/>
  <c r="N27" i="5"/>
  <c r="R27" i="5"/>
  <c r="P28" i="5"/>
  <c r="Q9" i="5"/>
  <c r="E10" i="5"/>
  <c r="I10" i="5"/>
  <c r="E11" i="5"/>
  <c r="I11" i="5"/>
  <c r="E12" i="5"/>
  <c r="I12" i="5"/>
  <c r="E13" i="5"/>
  <c r="I13" i="5"/>
  <c r="E14" i="5"/>
  <c r="I14" i="5"/>
  <c r="E15" i="5"/>
  <c r="I15" i="5"/>
  <c r="E16" i="5"/>
  <c r="I16" i="5"/>
  <c r="E17" i="5"/>
  <c r="I17" i="5"/>
  <c r="E18" i="5"/>
  <c r="I18" i="5"/>
  <c r="E19" i="5"/>
  <c r="I19" i="5"/>
  <c r="E20" i="5"/>
  <c r="I20" i="5"/>
  <c r="E21" i="5"/>
  <c r="I21" i="5"/>
  <c r="E22" i="5"/>
  <c r="I22" i="5"/>
  <c r="E23" i="5"/>
  <c r="I23" i="5"/>
  <c r="E24" i="5"/>
  <c r="I24" i="5"/>
  <c r="E25" i="5"/>
  <c r="I25" i="5"/>
  <c r="E26" i="5"/>
  <c r="I26" i="5"/>
  <c r="E27" i="5"/>
  <c r="I27" i="5"/>
  <c r="E28" i="5"/>
  <c r="I28" i="5"/>
  <c r="V26" i="5"/>
  <c r="Z26" i="5"/>
  <c r="AD26" i="5"/>
  <c r="V27" i="5"/>
  <c r="Z27" i="5"/>
  <c r="AD27" i="5"/>
  <c r="V28" i="5"/>
  <c r="Z28" i="5"/>
  <c r="AD28" i="5"/>
  <c r="AA9" i="5"/>
  <c r="W9" i="5"/>
  <c r="S9" i="5"/>
  <c r="O10" i="5"/>
  <c r="M11" i="5"/>
  <c r="Q11" i="5"/>
  <c r="O12" i="5"/>
  <c r="M13" i="5"/>
  <c r="Q13" i="5"/>
  <c r="O14" i="5"/>
  <c r="M15" i="5"/>
  <c r="Q15" i="5"/>
  <c r="O16" i="5"/>
  <c r="M17" i="5"/>
  <c r="Q17" i="5"/>
  <c r="O18" i="5"/>
  <c r="M19" i="5"/>
  <c r="Q19" i="5"/>
  <c r="O20" i="5"/>
  <c r="M21" i="5"/>
  <c r="Q21" i="5"/>
  <c r="O22" i="5"/>
  <c r="M23" i="5"/>
  <c r="Q23" i="5"/>
  <c r="O24" i="5"/>
  <c r="M25" i="5"/>
  <c r="Q25" i="5"/>
  <c r="O26" i="5"/>
  <c r="M27" i="5"/>
  <c r="Q27" i="5"/>
  <c r="O28" i="5"/>
  <c r="R9" i="5"/>
  <c r="N9" i="5"/>
  <c r="H10" i="5"/>
  <c r="L10" i="5"/>
  <c r="H11" i="5"/>
  <c r="L11" i="5"/>
  <c r="H12" i="5"/>
  <c r="L12" i="5"/>
  <c r="H13" i="5"/>
  <c r="L13" i="5"/>
  <c r="H14" i="5"/>
  <c r="L14" i="5"/>
  <c r="H15" i="5"/>
  <c r="L15" i="5"/>
  <c r="H16" i="5"/>
  <c r="L16" i="5"/>
  <c r="H17" i="5"/>
  <c r="L17" i="5"/>
  <c r="H18" i="5"/>
  <c r="L18" i="5"/>
  <c r="H19" i="5"/>
  <c r="L19" i="5"/>
  <c r="H20" i="5"/>
  <c r="L20" i="5"/>
  <c r="H21" i="5"/>
  <c r="L21" i="5"/>
  <c r="H22" i="5"/>
  <c r="L22" i="5"/>
  <c r="H23" i="5"/>
  <c r="L23" i="5"/>
  <c r="H24" i="5"/>
  <c r="L24" i="5"/>
  <c r="H25" i="5"/>
  <c r="L25" i="5"/>
  <c r="H26" i="5"/>
  <c r="L26" i="5"/>
  <c r="H27" i="5"/>
  <c r="L27" i="5"/>
  <c r="H28" i="5"/>
  <c r="L28" i="5"/>
  <c r="J9" i="5"/>
  <c r="F9" i="5"/>
  <c r="D24" i="5"/>
  <c r="D28" i="5"/>
  <c r="D10" i="5"/>
  <c r="D14" i="5"/>
  <c r="D18" i="5"/>
  <c r="D22" i="5"/>
  <c r="I9" i="5"/>
  <c r="E9" i="5"/>
  <c r="D25" i="5"/>
  <c r="D11" i="5"/>
  <c r="D15" i="5"/>
  <c r="D21" i="5"/>
  <c r="D13" i="5"/>
  <c r="P9" i="5"/>
  <c r="F10" i="5"/>
  <c r="J10" i="5"/>
  <c r="F11" i="5"/>
  <c r="J11" i="5"/>
  <c r="F12" i="5"/>
  <c r="J12" i="5"/>
  <c r="F13" i="5"/>
  <c r="J13" i="5"/>
  <c r="F14" i="5"/>
  <c r="J14" i="5"/>
  <c r="F15" i="5"/>
  <c r="J15" i="5"/>
  <c r="F16" i="5"/>
  <c r="J16" i="5"/>
  <c r="F17" i="5"/>
  <c r="J17" i="5"/>
  <c r="F18" i="5"/>
  <c r="J18" i="5"/>
  <c r="F19" i="5"/>
  <c r="J19" i="5"/>
  <c r="F20" i="5"/>
  <c r="J20" i="5"/>
  <c r="F21" i="5"/>
  <c r="J21" i="5"/>
  <c r="F22" i="5"/>
  <c r="J22" i="5"/>
  <c r="F23" i="5"/>
  <c r="J23" i="5"/>
  <c r="F24" i="5"/>
  <c r="J24" i="5"/>
  <c r="F25" i="5"/>
  <c r="J25" i="5"/>
  <c r="F26" i="5"/>
  <c r="J26" i="5"/>
  <c r="F27" i="5"/>
  <c r="J27" i="5"/>
  <c r="F28" i="5"/>
  <c r="J28" i="5"/>
  <c r="L9" i="5"/>
  <c r="H9" i="5"/>
  <c r="D26" i="5"/>
  <c r="D12" i="5"/>
  <c r="D16" i="5"/>
  <c r="D20" i="5"/>
  <c r="D19" i="5"/>
  <c r="K9" i="5"/>
  <c r="G9" i="5"/>
  <c r="D23" i="5"/>
  <c r="D27" i="5"/>
  <c r="D17" i="5"/>
  <c r="P39" i="2"/>
  <c r="P38" i="2"/>
  <c r="Q19" i="2"/>
  <c r="R43" i="2" s="1"/>
  <c r="Q34" i="2"/>
  <c r="S31" i="5" l="1"/>
  <c r="S34" i="5" s="1"/>
  <c r="S37" i="5" s="1"/>
  <c r="L31" i="5"/>
  <c r="L34" i="5" s="1"/>
  <c r="L37" i="5" s="1"/>
  <c r="I31" i="5"/>
  <c r="I34" i="5" s="1"/>
  <c r="I37" i="5" s="1"/>
  <c r="G31" i="5"/>
  <c r="G34" i="5" s="1"/>
  <c r="G37" i="5" s="1"/>
  <c r="K31" i="5"/>
  <c r="K34" i="5" s="1"/>
  <c r="K37" i="5" s="1"/>
  <c r="P31" i="5"/>
  <c r="P34" i="5" s="1"/>
  <c r="P37" i="5" s="1"/>
  <c r="H31" i="5"/>
  <c r="H34" i="5" s="1"/>
  <c r="H37" i="5" s="1"/>
  <c r="E31" i="5"/>
  <c r="E34" i="5" s="1"/>
  <c r="E37" i="5" s="1"/>
  <c r="AN17" i="5"/>
  <c r="AN23" i="5"/>
  <c r="AN19" i="5"/>
  <c r="AN16" i="5"/>
  <c r="N31" i="5"/>
  <c r="N34" i="5" s="1"/>
  <c r="N37" i="5" s="1"/>
  <c r="AA31" i="5"/>
  <c r="AA34" i="5" s="1"/>
  <c r="AA37" i="5" s="1"/>
  <c r="Y31" i="5"/>
  <c r="Y34" i="5" s="1"/>
  <c r="Y37" i="5" s="1"/>
  <c r="AN12" i="5"/>
  <c r="R31" i="5"/>
  <c r="R34" i="5" s="1"/>
  <c r="R37" i="5" s="1"/>
  <c r="W31" i="5"/>
  <c r="W34" i="5" s="1"/>
  <c r="W37" i="5" s="1"/>
  <c r="U31" i="5"/>
  <c r="U34" i="5" s="1"/>
  <c r="U37" i="5" s="1"/>
  <c r="AC31" i="5"/>
  <c r="AC34" i="5" s="1"/>
  <c r="AC37" i="5" s="1"/>
  <c r="AI31" i="5"/>
  <c r="AI34" i="5" s="1"/>
  <c r="AI37" i="5" s="1"/>
  <c r="AN27" i="5"/>
  <c r="AN26" i="5"/>
  <c r="F30" i="7"/>
  <c r="F36" i="7" s="1"/>
  <c r="AN20" i="5"/>
  <c r="AN15" i="5"/>
  <c r="AN22" i="5"/>
  <c r="AN14" i="5"/>
  <c r="AN28" i="5"/>
  <c r="F31" i="5"/>
  <c r="F34" i="5" s="1"/>
  <c r="F37" i="5" s="1"/>
  <c r="M31" i="5"/>
  <c r="M34" i="5" s="1"/>
  <c r="M37" i="5" s="1"/>
  <c r="Z31" i="5"/>
  <c r="Z34" i="5" s="1"/>
  <c r="Z37" i="5" s="1"/>
  <c r="X31" i="5"/>
  <c r="X34" i="5" s="1"/>
  <c r="X37" i="5" s="1"/>
  <c r="AG31" i="5"/>
  <c r="AG34" i="5" s="1"/>
  <c r="AG37" i="5" s="1"/>
  <c r="AJ31" i="5"/>
  <c r="AJ34" i="5" s="1"/>
  <c r="AJ37" i="5" s="1"/>
  <c r="AL31" i="5"/>
  <c r="AL34" i="5" s="1"/>
  <c r="AL37" i="5" s="1"/>
  <c r="F10" i="7"/>
  <c r="AN13" i="5"/>
  <c r="AN21" i="5"/>
  <c r="AN11" i="5"/>
  <c r="AN25" i="5"/>
  <c r="AN18" i="5"/>
  <c r="AN10" i="5"/>
  <c r="AN24" i="5"/>
  <c r="J31" i="5"/>
  <c r="J34" i="5" s="1"/>
  <c r="J37" i="5" s="1"/>
  <c r="Q31" i="5"/>
  <c r="Q34" i="5" s="1"/>
  <c r="Q37" i="5" s="1"/>
  <c r="V31" i="5"/>
  <c r="V34" i="5" s="1"/>
  <c r="V37" i="5" s="1"/>
  <c r="AD31" i="5"/>
  <c r="AD34" i="5" s="1"/>
  <c r="AD37" i="5" s="1"/>
  <c r="O31" i="5"/>
  <c r="O34" i="5" s="1"/>
  <c r="O37" i="5" s="1"/>
  <c r="T31" i="5"/>
  <c r="T34" i="5" s="1"/>
  <c r="T37" i="5" s="1"/>
  <c r="AB31" i="5"/>
  <c r="AB34" i="5" s="1"/>
  <c r="AB37" i="5" s="1"/>
  <c r="AE31" i="5"/>
  <c r="AE34" i="5" s="1"/>
  <c r="AE37" i="5" s="1"/>
  <c r="AM31" i="5"/>
  <c r="AM34" i="5" s="1"/>
  <c r="AM37" i="5" s="1"/>
  <c r="AK31" i="5"/>
  <c r="AK34" i="5" s="1"/>
  <c r="AK37" i="5" s="1"/>
  <c r="AF31" i="5"/>
  <c r="AF34" i="5" s="1"/>
  <c r="AF37" i="5" s="1"/>
  <c r="D31" i="5"/>
  <c r="D34" i="5" s="1"/>
  <c r="AN9" i="5"/>
  <c r="AH31" i="5"/>
  <c r="AH34" i="5" s="1"/>
  <c r="AH37" i="5" s="1"/>
  <c r="Q39" i="2"/>
  <c r="Q38" i="2"/>
  <c r="H34" i="2"/>
  <c r="R44" i="2"/>
  <c r="S34" i="2"/>
  <c r="E17" i="7" s="1"/>
  <c r="R34" i="2"/>
  <c r="E20" i="7" s="1"/>
  <c r="F20" i="7" s="1"/>
  <c r="S19" i="2"/>
  <c r="E16" i="7" s="1"/>
  <c r="R19" i="2"/>
  <c r="AN34" i="5" l="1"/>
  <c r="F22" i="7" s="1"/>
  <c r="D37" i="5"/>
  <c r="AN37" i="5" s="1"/>
  <c r="E19" i="7"/>
  <c r="F19" i="7" s="1"/>
  <c r="F16" i="7"/>
  <c r="I21" i="19"/>
  <c r="I28" i="19"/>
  <c r="I11" i="19"/>
  <c r="F17" i="19"/>
  <c r="I23" i="19"/>
  <c r="F11" i="19"/>
  <c r="I26" i="19"/>
  <c r="I20" i="19"/>
  <c r="F27" i="19"/>
  <c r="I19" i="19"/>
  <c r="F24" i="19"/>
  <c r="I27" i="19"/>
  <c r="I22" i="19"/>
  <c r="I15" i="19"/>
  <c r="F13" i="19"/>
  <c r="I24" i="19"/>
  <c r="F28" i="19"/>
  <c r="F25" i="19"/>
  <c r="I16" i="19"/>
  <c r="F15" i="19"/>
  <c r="F18" i="19"/>
  <c r="F16" i="19"/>
  <c r="F26" i="19"/>
  <c r="I17" i="19"/>
  <c r="F22" i="19"/>
  <c r="I25" i="19"/>
  <c r="I13" i="19"/>
  <c r="F20" i="19"/>
  <c r="I18" i="19"/>
  <c r="I12" i="19"/>
  <c r="I14" i="19"/>
  <c r="F21" i="19"/>
  <c r="F12" i="19"/>
  <c r="F23" i="19"/>
  <c r="F14" i="19"/>
  <c r="F19" i="19"/>
  <c r="AN31" i="5"/>
  <c r="R38" i="2"/>
  <c r="F17" i="7"/>
  <c r="S38" i="2"/>
  <c r="E23" i="7" l="1"/>
  <c r="E37" i="7" s="1"/>
  <c r="F15" i="7"/>
  <c r="E38" i="7" l="1"/>
  <c r="G38" i="7" s="1"/>
  <c r="C25" i="19"/>
  <c r="C27" i="19" s="1"/>
  <c r="F23" i="7"/>
  <c r="F37" i="7" s="1"/>
  <c r="F38" i="7" s="1"/>
  <c r="F39" i="7" s="1"/>
  <c r="E39" i="7" l="1"/>
</calcChain>
</file>

<file path=xl/comments1.xml><?xml version="1.0" encoding="utf-8"?>
<comments xmlns="http://schemas.openxmlformats.org/spreadsheetml/2006/main">
  <authors>
    <author>山口県</author>
  </authors>
  <commentList>
    <comment ref="A1" authorId="0">
      <text>
        <r>
          <rPr>
            <b/>
            <sz val="11"/>
            <color indexed="81"/>
            <rFont val="ＭＳ Ｐゴシック"/>
            <family val="3"/>
            <charset val="128"/>
          </rPr>
          <t>本シートはシート「科目集計用」より自動的に作成されます。</t>
        </r>
      </text>
    </comment>
  </commentList>
</comments>
</file>

<file path=xl/comments2.xml><?xml version="1.0" encoding="utf-8"?>
<comments xmlns="http://schemas.openxmlformats.org/spreadsheetml/2006/main">
  <authors>
    <author>山口県</author>
    <author>kazuoki3</author>
  </authors>
  <commentList>
    <comment ref="B1" authorId="0">
      <text>
        <r>
          <rPr>
            <b/>
            <sz val="9"/>
            <color indexed="81"/>
            <rFont val="ＭＳ Ｐゴシック"/>
            <family val="3"/>
            <charset val="128"/>
          </rPr>
          <t>緑のセルはプルダウンリストから選択してください。その他のセルは自動作成されます。</t>
        </r>
      </text>
    </comment>
    <comment ref="B9" authorId="1">
      <text>
        <r>
          <rPr>
            <b/>
            <sz val="9"/>
            <color indexed="81"/>
            <rFont val="ＭＳ Ｐゴシック"/>
            <family val="3"/>
            <charset val="128"/>
          </rPr>
          <t>=作業名</t>
        </r>
      </text>
    </comment>
    <comment ref="D9" authorId="1">
      <text>
        <r>
          <rPr>
            <b/>
            <sz val="9"/>
            <color indexed="81"/>
            <rFont val="ＭＳ Ｐゴシック"/>
            <family val="3"/>
            <charset val="128"/>
          </rPr>
          <t>=SUMPRODUCT((作業体系!$A$4:$A$346=労働時間!$B9)*(作業体系!$B$4:$B$346="1月上旬")*(作業体系!$P$4:$P$346))</t>
        </r>
      </text>
    </comment>
  </commentList>
</comments>
</file>

<file path=xl/comments3.xml><?xml version="1.0" encoding="utf-8"?>
<comments xmlns="http://schemas.openxmlformats.org/spreadsheetml/2006/main">
  <authors>
    <author>ooisi</author>
  </authors>
  <commentList>
    <comment ref="C5" authorId="0">
      <text>
        <r>
          <rPr>
            <sz val="11"/>
            <color indexed="81"/>
            <rFont val="ＭＳ Ｐゴシック"/>
            <family val="3"/>
            <charset val="128"/>
          </rPr>
          <t>必ず記入してください。</t>
        </r>
        <r>
          <rPr>
            <b/>
            <sz val="9"/>
            <color indexed="81"/>
            <rFont val="ＭＳ Ｐゴシック"/>
            <family val="3"/>
            <charset val="128"/>
          </rPr>
          <t xml:space="preserve">
</t>
        </r>
        <r>
          <rPr>
            <sz val="11"/>
            <color indexed="81"/>
            <rFont val="ＭＳ Ｐゴシック"/>
            <family val="3"/>
            <charset val="128"/>
          </rPr>
          <t>これが、プロセス名になります。</t>
        </r>
      </text>
    </comment>
    <comment ref="K11" authorId="0">
      <text>
        <r>
          <rPr>
            <b/>
            <sz val="11"/>
            <color indexed="81"/>
            <rFont val="ＭＳ Ｐゴシック"/>
            <family val="3"/>
            <charset val="128"/>
          </rPr>
          <t>必ず入力します。入力しないと計画案を計算しません。</t>
        </r>
        <r>
          <rPr>
            <sz val="11"/>
            <color indexed="81"/>
            <rFont val="ＭＳ Ｐゴシック"/>
            <family val="3"/>
            <charset val="128"/>
          </rPr>
          <t xml:space="preserve">
</t>
        </r>
      </text>
    </comment>
    <comment ref="L11" authorId="0">
      <text>
        <r>
          <rPr>
            <sz val="11"/>
            <color indexed="81"/>
            <rFont val="ＭＳ Ｐゴシック"/>
            <family val="3"/>
            <charset val="128"/>
          </rPr>
          <t>ダブルクリックすると、地目のリストが表示されます。リストから選択します。</t>
        </r>
      </text>
    </comment>
    <comment ref="K12" authorId="0">
      <text>
        <r>
          <rPr>
            <b/>
            <sz val="11"/>
            <color indexed="81"/>
            <rFont val="ＭＳ Ｐゴシック"/>
            <family val="3"/>
            <charset val="128"/>
          </rPr>
          <t>必ず入力します。入力しないと計画案を計算しません。</t>
        </r>
      </text>
    </comment>
    <comment ref="L12" authorId="0">
      <text>
        <r>
          <rPr>
            <b/>
            <sz val="11"/>
            <color indexed="81"/>
            <rFont val="ＭＳ Ｐゴシック"/>
            <family val="3"/>
            <charset val="128"/>
          </rPr>
          <t>作付地目が「田」の場合に入力します。
 ①生産物が主食用米の場合は「該当する」を入力します
 ②その他の場合は「該当しない」を入力します。</t>
        </r>
      </text>
    </comment>
    <comment ref="L13" authorId="0">
      <text>
        <r>
          <rPr>
            <sz val="11"/>
            <color indexed="81"/>
            <rFont val="ＭＳ Ｐゴシック"/>
            <family val="3"/>
            <charset val="128"/>
          </rPr>
          <t>「１月」から「12月」のいずれかを入力します。数字のみ入力してください。
入力がないと、「１月」とみなされます。</t>
        </r>
      </text>
    </comment>
    <comment ref="M13" authorId="0">
      <text>
        <r>
          <rPr>
            <sz val="11"/>
            <color indexed="81"/>
            <rFont val="ＭＳ Ｐゴシック"/>
            <family val="3"/>
            <charset val="128"/>
          </rPr>
          <t>ダブルクリックすると、旬のリストが表示されます。リストから選択します。選択しないと「上旬」と見なされます。</t>
        </r>
      </text>
    </comment>
    <comment ref="C14" authorId="0">
      <text>
        <r>
          <rPr>
            <sz val="11"/>
            <color indexed="81"/>
            <rFont val="ＭＳ Ｐゴシック"/>
            <family val="3"/>
            <charset val="128"/>
          </rPr>
          <t>この数値は入力できません。
(単位収量×単価＋その他収益)で計算します。</t>
        </r>
      </text>
    </comment>
    <comment ref="L14" authorId="0">
      <text>
        <r>
          <rPr>
            <sz val="11"/>
            <color indexed="81"/>
            <rFont val="ＭＳ Ｐゴシック"/>
            <family val="3"/>
            <charset val="128"/>
          </rPr>
          <t>「１月」から「12月」のいずれかを入力します。数字のみ入力してください。
入力がないと、「12月」とみなされます。</t>
        </r>
      </text>
    </comment>
    <comment ref="M14" authorId="0">
      <text>
        <r>
          <rPr>
            <sz val="11"/>
            <color indexed="81"/>
            <rFont val="ＭＳ Ｐゴシック"/>
            <family val="3"/>
            <charset val="128"/>
          </rPr>
          <t>ダブルクリックすると、旬のリストが表示されます。リストから選択します。選択しないと「下旬」と見なされます。</t>
        </r>
      </text>
    </comment>
    <comment ref="L15" authorId="0">
      <text>
        <r>
          <rPr>
            <sz val="11"/>
            <color indexed="81"/>
            <rFont val="ＭＳ Ｐゴシック"/>
            <family val="3"/>
            <charset val="128"/>
          </rPr>
          <t>作付したい最小の面積を、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単位で入力します。固定した面積を作付けしたいときは、同じ数値を作付上限にも入力します。
</t>
        </r>
      </text>
    </comment>
    <comment ref="L16" authorId="0">
      <text>
        <r>
          <rPr>
            <sz val="11"/>
            <color indexed="81"/>
            <rFont val="ＭＳ Ｐゴシック"/>
            <family val="3"/>
            <charset val="128"/>
          </rPr>
          <t>作付したい最大の面積を、</t>
        </r>
        <r>
          <rPr>
            <b/>
            <sz val="11"/>
            <color indexed="10"/>
            <rFont val="ＭＳ Ｐゴシック"/>
            <family val="3"/>
            <charset val="128"/>
          </rPr>
          <t>ha</t>
        </r>
        <r>
          <rPr>
            <sz val="11"/>
            <color indexed="81"/>
            <rFont val="ＭＳ Ｐゴシック"/>
            <family val="3"/>
            <charset val="128"/>
          </rPr>
          <t xml:space="preserve">単位で入力します。固定した面積を作付けしたいときは、同じ数値を作付下限にも入力します。
</t>
        </r>
      </text>
    </comment>
    <comment ref="C25" authorId="0">
      <text>
        <r>
          <rPr>
            <sz val="11"/>
            <color indexed="81"/>
            <rFont val="ＭＳ Ｐゴシック"/>
            <family val="3"/>
            <charset val="128"/>
          </rPr>
          <t>この数値は入力できません。
種苗費からその他費用までを合計します。</t>
        </r>
      </text>
    </comment>
    <comment ref="C27" authorId="0">
      <text>
        <r>
          <rPr>
            <sz val="11"/>
            <color indexed="81"/>
            <rFont val="ＭＳ Ｐゴシック"/>
            <family val="3"/>
            <charset val="128"/>
          </rPr>
          <t>この数値は入力できません。
(粗収益－変動費)で計算します。</t>
        </r>
      </text>
    </comment>
  </commentList>
</comments>
</file>

<file path=xl/comments4.xml><?xml version="1.0" encoding="utf-8"?>
<comments xmlns="http://schemas.openxmlformats.org/spreadsheetml/2006/main">
  <authors>
    <author>山口県</author>
    <author>kazuoki3</author>
    <author>masa</author>
  </authors>
  <commentList>
    <comment ref="A1" authorId="0">
      <text>
        <r>
          <rPr>
            <b/>
            <sz val="11"/>
            <color indexed="81"/>
            <rFont val="ＭＳ Ｐゴシック"/>
            <family val="3"/>
            <charset val="128"/>
          </rPr>
          <t>黄色のセルに直接記入してください。その他のセルは自動的に参照または計算されます。</t>
        </r>
      </text>
    </comment>
    <comment ref="E1" authorId="1">
      <text>
        <r>
          <rPr>
            <b/>
            <sz val="9"/>
            <color indexed="81"/>
            <rFont val="ＭＳ Ｐゴシック"/>
            <family val="3"/>
            <charset val="128"/>
          </rPr>
          <t>=技術体系入力!F2*100</t>
        </r>
      </text>
    </comment>
    <comment ref="I2" authorId="2">
      <text>
        <r>
          <rPr>
            <b/>
            <sz val="11"/>
            <color indexed="8"/>
            <rFont val="ＭＳ Ｐゴシック"/>
            <family val="3"/>
            <charset val="128"/>
          </rPr>
          <t xml:space="preserve">農家負担率
</t>
        </r>
        <r>
          <rPr>
            <sz val="11"/>
            <color indexed="8"/>
            <rFont val="ＭＳ Ｐゴシック"/>
            <family val="3"/>
            <charset val="128"/>
          </rPr>
          <t>補助事業を活用する場合に、農家が最終的に負担する割合（補助残率）を記入します。</t>
        </r>
      </text>
    </comment>
    <comment ref="J2" authorId="2">
      <text>
        <r>
          <rPr>
            <b/>
            <sz val="9"/>
            <color indexed="8"/>
            <rFont val="ＭＳ Ｐゴシック"/>
            <family val="3"/>
            <charset val="128"/>
          </rPr>
          <t xml:space="preserve">単価
</t>
        </r>
        <r>
          <rPr>
            <sz val="9"/>
            <color indexed="8"/>
            <rFont val="ＭＳ Ｐゴシック"/>
            <family val="3"/>
            <charset val="128"/>
          </rPr>
          <t xml:space="preserve">補助等を控除しない通常取得する場合の購入価格を入力します
</t>
        </r>
      </text>
    </comment>
    <comment ref="K2" authorId="2">
      <text>
        <r>
          <rPr>
            <b/>
            <sz val="9"/>
            <color indexed="8"/>
            <rFont val="ＭＳ Ｐゴシック"/>
            <family val="3"/>
            <charset val="128"/>
          </rPr>
          <t xml:space="preserve">取得価格
</t>
        </r>
        <r>
          <rPr>
            <sz val="9"/>
            <color indexed="8"/>
            <rFont val="ＭＳ Ｐゴシック"/>
            <family val="3"/>
            <charset val="128"/>
          </rPr>
          <t xml:space="preserve">取得価格＝単価×数量
</t>
        </r>
      </text>
    </comment>
    <comment ref="L2" authorId="2">
      <text>
        <r>
          <rPr>
            <b/>
            <sz val="9"/>
            <color indexed="8"/>
            <rFont val="ＭＳ Ｐゴシック"/>
            <family val="3"/>
            <charset val="128"/>
          </rPr>
          <t xml:space="preserve">農家取得価格
</t>
        </r>
        <r>
          <rPr>
            <sz val="9"/>
            <color indexed="8"/>
            <rFont val="ＭＳ Ｐゴシック"/>
            <family val="3"/>
            <charset val="128"/>
          </rPr>
          <t xml:space="preserve">農家取得価格＝取得価格×農家負担率
</t>
        </r>
      </text>
    </comment>
    <comment ref="M3" authorId="2">
      <text>
        <r>
          <rPr>
            <sz val="11"/>
            <color indexed="8"/>
            <rFont val="ＭＳ Ｐゴシック"/>
            <family val="3"/>
            <charset val="128"/>
          </rPr>
          <t>●当該施設・機械を他の作物でも利用することが想定される場合は、利用面積で按分した割合を入力してください。
●わからない場合は「100」を入力してください。</t>
        </r>
      </text>
    </comment>
    <comment ref="R41" authorId="2">
      <text>
        <r>
          <rPr>
            <sz val="9"/>
            <color indexed="8"/>
            <rFont val="ＭＳ Ｐゴシック"/>
            <family val="3"/>
            <charset val="128"/>
          </rPr>
          <t xml:space="preserve">総償却額÷年償却額
</t>
        </r>
      </text>
    </comment>
    <comment ref="J42" authorId="2">
      <text>
        <r>
          <rPr>
            <sz val="9"/>
            <color indexed="8"/>
            <rFont val="ＭＳ Ｐゴシック"/>
            <family val="3"/>
            <charset val="128"/>
          </rPr>
          <t xml:space="preserve">平均負担価格
＝（負担価格－残存価格）÷２＋残存価格
耐用年数の中間年の評価額
</t>
        </r>
      </text>
    </comment>
    <comment ref="Q45" authorId="2">
      <text>
        <r>
          <rPr>
            <sz val="9"/>
            <color indexed="8"/>
            <rFont val="ＭＳ Ｐゴシック"/>
            <family val="3"/>
            <charset val="128"/>
          </rPr>
          <t xml:space="preserve">大植物を除く
</t>
        </r>
      </text>
    </comment>
  </commentList>
</comments>
</file>

<file path=xl/comments5.xml><?xml version="1.0" encoding="utf-8"?>
<comments xmlns="http://schemas.openxmlformats.org/spreadsheetml/2006/main">
  <authors>
    <author>kazuoki3</author>
    <author>山口県</author>
    <author>015209</author>
  </authors>
  <commentList>
    <comment ref="A1" authorId="0">
      <text>
        <r>
          <rPr>
            <b/>
            <sz val="9"/>
            <color indexed="81"/>
            <rFont val="ＭＳ Ｐゴシック"/>
            <family val="3"/>
            <charset val="128"/>
          </rPr>
          <t>=IF(技術体系入力!B2=0,"",技術体系入力!B2)</t>
        </r>
      </text>
    </comment>
    <comment ref="D1" authorId="0">
      <text>
        <r>
          <rPr>
            <b/>
            <sz val="9"/>
            <color indexed="81"/>
            <rFont val="ＭＳ Ｐゴシック"/>
            <family val="3"/>
            <charset val="128"/>
          </rPr>
          <t>=IF(技術体系入力!D2=0,"",技術体系入力!D2)</t>
        </r>
      </text>
    </comment>
    <comment ref="A2" authorId="0">
      <text>
        <r>
          <rPr>
            <sz val="9"/>
            <color indexed="81"/>
            <rFont val="ＭＳ Ｐゴシック"/>
            <family val="3"/>
            <charset val="128"/>
          </rPr>
          <t>=作業名</t>
        </r>
      </text>
    </comment>
    <comment ref="B2" authorId="0">
      <text>
        <r>
          <rPr>
            <sz val="9"/>
            <color indexed="81"/>
            <rFont val="ＭＳ Ｐゴシック"/>
            <family val="3"/>
            <charset val="128"/>
          </rPr>
          <t>=月旬</t>
        </r>
      </text>
    </comment>
    <comment ref="C2" authorId="1">
      <text>
        <r>
          <rPr>
            <b/>
            <sz val="11"/>
            <color indexed="81"/>
            <rFont val="ＭＳ Ｐゴシック"/>
            <family val="3"/>
            <charset val="128"/>
          </rPr>
          <t>=「償却資産」シート
　「機械」</t>
        </r>
      </text>
    </comment>
    <comment ref="E2" authorId="2">
      <text>
        <r>
          <rPr>
            <b/>
            <sz val="9"/>
            <color indexed="81"/>
            <rFont val="ＭＳ Ｐゴシック"/>
            <family val="3"/>
            <charset val="128"/>
          </rPr>
          <t>黄色のセルは直接入力、緑のセルはプルダウンリストから選択してください。</t>
        </r>
        <r>
          <rPr>
            <sz val="9"/>
            <color indexed="81"/>
            <rFont val="ＭＳ Ｐゴシック"/>
            <family val="3"/>
            <charset val="128"/>
          </rPr>
          <t xml:space="preserve">
</t>
        </r>
      </text>
    </comment>
    <comment ref="F2" authorId="2">
      <text>
        <r>
          <rPr>
            <b/>
            <sz val="9"/>
            <color indexed="81"/>
            <rFont val="ＭＳ Ｐゴシック"/>
            <family val="3"/>
            <charset val="128"/>
          </rPr>
          <t>1作業あたりの
時間・人数を入力</t>
        </r>
      </text>
    </comment>
    <comment ref="L3" authorId="2">
      <text>
        <r>
          <rPr>
            <b/>
            <sz val="9"/>
            <color indexed="81"/>
            <rFont val="ＭＳ Ｐゴシック"/>
            <family val="3"/>
            <charset val="128"/>
          </rPr>
          <t>1作業あたりの
時間を入力</t>
        </r>
      </text>
    </comment>
  </commentList>
</comments>
</file>

<file path=xl/comments6.xml><?xml version="1.0" encoding="utf-8"?>
<comments xmlns="http://schemas.openxmlformats.org/spreadsheetml/2006/main">
  <authors>
    <author>山口県</author>
    <author>kazuoki3</author>
    <author>masa</author>
  </authors>
  <commentList>
    <comment ref="B1" authorId="0">
      <text>
        <r>
          <rPr>
            <b/>
            <sz val="9"/>
            <color indexed="81"/>
            <rFont val="ＭＳ Ｐゴシック"/>
            <family val="3"/>
            <charset val="128"/>
          </rPr>
          <t>黄色のセルは直接入力、緑のセルはプルダウンリストから選ぶか、または、自動計算されます。</t>
        </r>
      </text>
    </comment>
    <comment ref="B2" authorId="1">
      <text>
        <r>
          <rPr>
            <sz val="9"/>
            <color indexed="81"/>
            <rFont val="ＭＳ Ｐゴシック"/>
            <family val="3"/>
            <charset val="128"/>
          </rPr>
          <t>科目設定シート参照（=科目）</t>
        </r>
      </text>
    </comment>
    <comment ref="D2" authorId="2">
      <text>
        <r>
          <rPr>
            <sz val="11"/>
            <color indexed="8"/>
            <rFont val="ＭＳ Ｐゴシック"/>
            <family val="3"/>
            <charset val="128"/>
          </rPr>
          <t>経営全体あるいは該当作目全体で利用する数量を入力する。
ここでは案分を考慮した数値を入れない。
10a当りのあん分等は負担率で調整する</t>
        </r>
      </text>
    </comment>
    <comment ref="E2" authorId="1">
      <text>
        <r>
          <rPr>
            <sz val="9"/>
            <color indexed="81"/>
            <rFont val="ＭＳ Ｐゴシック"/>
            <family val="3"/>
            <charset val="128"/>
          </rPr>
          <t>=単位</t>
        </r>
      </text>
    </comment>
    <comment ref="F2" authorId="2">
      <text>
        <r>
          <rPr>
            <sz val="11"/>
            <color indexed="8"/>
            <rFont val="ＭＳ Ｐゴシック"/>
            <family val="3"/>
            <charset val="128"/>
          </rPr>
          <t>単価欄には物材そのものの金額（単価）を入力し、10a当りに案分する場合は負担率を使う。
例）１個１万円の資材を20aで使用する場合は、
　数量１、単価１万円、負担率50%と入力する。
　悪い例１：数量１、単価５千円、負担率100%
　悪い例２：数量0.5、単価１万円、負担率100%</t>
        </r>
      </text>
    </comment>
    <comment ref="G2" authorId="2">
      <text>
        <r>
          <rPr>
            <sz val="11"/>
            <color indexed="8"/>
            <rFont val="ＭＳ Ｐゴシック"/>
            <family val="3"/>
            <charset val="128"/>
          </rPr>
          <t>使用可能年数を入力
１０万円未満で複数年利用できる機械や資材等は、一般に単年度の経費とするが、ここでは使用年数で除した金額を単年度経費とする。</t>
        </r>
      </text>
    </comment>
    <comment ref="H2" authorId="2">
      <text>
        <r>
          <rPr>
            <sz val="11"/>
            <color indexed="8"/>
            <rFont val="ＭＳ Ｐゴシック"/>
            <family val="3"/>
            <charset val="128"/>
          </rPr>
          <t>①年間に該当作目が経営全体の中で負担する率を必ず入力
　例：抑制と促成の年２回利用する場合には、各作型で50%とする
②10a当りに換算するための調整数値として入力する。
　例：１個１万円の資材を20aで使用する場合は、
　　　数量１、単価１万円、負担率50%と入力する。
①と②両方が必要な場合は①×②の数値を入力する。
負担率の詳細を備考へメモしておく。</t>
        </r>
      </text>
    </comment>
    <comment ref="W2" authorId="2">
      <text>
        <r>
          <rPr>
            <sz val="9"/>
            <color indexed="8"/>
            <rFont val="ＭＳ Ｐゴシック"/>
            <family val="3"/>
            <charset val="128"/>
          </rPr>
          <t xml:space="preserve">負担率の根拠等を入力してください
</t>
        </r>
      </text>
    </comment>
  </commentList>
</comments>
</file>

<file path=xl/sharedStrings.xml><?xml version="1.0" encoding="utf-8"?>
<sst xmlns="http://schemas.openxmlformats.org/spreadsheetml/2006/main" count="1098" uniqueCount="585">
  <si>
    <t>品目</t>
  </si>
  <si>
    <t>品種</t>
  </si>
  <si>
    <t>該当する地域</t>
  </si>
  <si>
    <t>技術体系</t>
  </si>
  <si>
    <t>作業名</t>
  </si>
  <si>
    <t>作業内容</t>
  </si>
  <si>
    <t>時期</t>
  </si>
  <si>
    <t>投下資材及び使用設備</t>
  </si>
  <si>
    <t>備考（データ出典等）</t>
  </si>
  <si>
    <t>償却資産</t>
  </si>
  <si>
    <t>想定面積：</t>
  </si>
  <si>
    <t>a</t>
  </si>
  <si>
    <t>種  類</t>
  </si>
  <si>
    <t>構造能力</t>
  </si>
  <si>
    <t>数　量</t>
  </si>
  <si>
    <t>単　位</t>
  </si>
  <si>
    <t>残存率</t>
  </si>
  <si>
    <t>耐用年数</t>
  </si>
  <si>
    <t>農家負担率</t>
  </si>
  <si>
    <t>単価</t>
  </si>
  <si>
    <t>取得価格</t>
  </si>
  <si>
    <t>農 家</t>
  </si>
  <si>
    <t>該当作目</t>
  </si>
  <si>
    <t>(事業費)</t>
  </si>
  <si>
    <t>負担率</t>
  </si>
  <si>
    <t>負担価格</t>
  </si>
  <si>
    <t>残存価格</t>
  </si>
  <si>
    <t xml:space="preserve">総償却額  </t>
  </si>
  <si>
    <t xml:space="preserve">年償却額    </t>
  </si>
  <si>
    <t>年修理費</t>
  </si>
  <si>
    <t>備　考</t>
  </si>
  <si>
    <t>(10a当り)</t>
  </si>
  <si>
    <t>建</t>
  </si>
  <si>
    <t>物</t>
  </si>
  <si>
    <t>施</t>
  </si>
  <si>
    <t>設</t>
  </si>
  <si>
    <t>小 計(2)</t>
  </si>
  <si>
    <t>大植物</t>
  </si>
  <si>
    <t>小 計(3)</t>
  </si>
  <si>
    <t>計 (1)+(2)+(3)+(4)</t>
  </si>
  <si>
    <t>修理費係数の設定</t>
  </si>
  <si>
    <t>係数値</t>
  </si>
  <si>
    <t>負債利子計算</t>
  </si>
  <si>
    <t>全体</t>
  </si>
  <si>
    <t>建物・機械</t>
  </si>
  <si>
    <t>施設</t>
  </si>
  <si>
    <t>平均耐用年数</t>
  </si>
  <si>
    <t>①</t>
  </si>
  <si>
    <t>建物・施設</t>
  </si>
  <si>
    <t>平均負担価格</t>
  </si>
  <si>
    <t>建物</t>
  </si>
  <si>
    <t>②</t>
  </si>
  <si>
    <t>大農具</t>
  </si>
  <si>
    <t>投下固定資本中の借入資本比率</t>
  </si>
  <si>
    <t>借入資本額</t>
  </si>
  <si>
    <t>機械</t>
  </si>
  <si>
    <t>10a当たり借入資本額</t>
  </si>
  <si>
    <t>負債利子率</t>
  </si>
  <si>
    <t>10a当たり負債利子額</t>
  </si>
  <si>
    <t>作業期間</t>
  </si>
  <si>
    <t>原動機</t>
  </si>
  <si>
    <t>作業機械名
規格</t>
  </si>
  <si>
    <t>燃料</t>
  </si>
  <si>
    <t>備考</t>
  </si>
  <si>
    <t>基幹労働時間</t>
  </si>
  <si>
    <t>補助労働時間</t>
  </si>
  <si>
    <t>労働時間合計</t>
  </si>
  <si>
    <t>種類</t>
  </si>
  <si>
    <t>8月上旬</t>
  </si>
  <si>
    <t>軽油</t>
  </si>
  <si>
    <t>8月下旬</t>
  </si>
  <si>
    <t>ガソリン</t>
  </si>
  <si>
    <t>10月中旬</t>
  </si>
  <si>
    <t>9月下旬</t>
  </si>
  <si>
    <t>12月上旬</t>
  </si>
  <si>
    <t>11月上旬</t>
  </si>
  <si>
    <t>(10a当たり）</t>
  </si>
  <si>
    <t>科目</t>
  </si>
  <si>
    <t>名　称</t>
  </si>
  <si>
    <t>数量</t>
  </si>
  <si>
    <t>単位</t>
  </si>
  <si>
    <t>使用年数</t>
  </si>
  <si>
    <t>負担数量</t>
  </si>
  <si>
    <t>金　額</t>
  </si>
  <si>
    <t>使用濃度</t>
  </si>
  <si>
    <t>散布量</t>
  </si>
  <si>
    <t>散布回数</t>
  </si>
  <si>
    <t>参考使用量</t>
  </si>
  <si>
    <t>N成分率</t>
  </si>
  <si>
    <t>P成分率</t>
  </si>
  <si>
    <t>K成分率</t>
  </si>
  <si>
    <t>N成分量</t>
  </si>
  <si>
    <t>P成分量</t>
  </si>
  <si>
    <t>K成分量</t>
  </si>
  <si>
    <t>備    考</t>
  </si>
  <si>
    <t>肥料費</t>
  </si>
  <si>
    <t>土づくり肥料</t>
  </si>
  <si>
    <t>配合肥料</t>
  </si>
  <si>
    <t>種苗費</t>
  </si>
  <si>
    <t>種子</t>
  </si>
  <si>
    <t>袋</t>
  </si>
  <si>
    <t>農業薬剤費</t>
  </si>
  <si>
    <t>除草剤</t>
  </si>
  <si>
    <t>ml</t>
  </si>
  <si>
    <t>殺菌剤</t>
  </si>
  <si>
    <t>g</t>
  </si>
  <si>
    <t>殺虫剤</t>
  </si>
  <si>
    <t>通年</t>
  </si>
  <si>
    <t>管理費用</t>
  </si>
  <si>
    <t>保険料・共済掛金</t>
  </si>
  <si>
    <t>年間</t>
  </si>
  <si>
    <t>農業用租税公課</t>
  </si>
  <si>
    <t>粗収益</t>
  </si>
  <si>
    <t>主産物</t>
  </si>
  <si>
    <t>Kg</t>
  </si>
  <si>
    <t>諸材料費</t>
  </si>
  <si>
    <t>その他資材</t>
  </si>
  <si>
    <t>個</t>
  </si>
  <si>
    <t>賃借料・利用料</t>
  </si>
  <si>
    <t>施設・機械等リース料</t>
  </si>
  <si>
    <t>回</t>
  </si>
  <si>
    <t>土地改良・水利費</t>
  </si>
  <si>
    <t>水利費</t>
  </si>
  <si>
    <t>支払地代</t>
  </si>
  <si>
    <t>事務費</t>
  </si>
  <si>
    <t>販売費用</t>
  </si>
  <si>
    <t>運賃</t>
  </si>
  <si>
    <t>雇用労働費</t>
  </si>
  <si>
    <t>時間</t>
  </si>
  <si>
    <t>２．作業体系及び労働時間（10a当たり）</t>
  </si>
  <si>
    <t>単位：時間</t>
  </si>
  <si>
    <t>月　別</t>
  </si>
  <si>
    <t>合計</t>
  </si>
  <si>
    <t>上</t>
  </si>
  <si>
    <t>中</t>
  </si>
  <si>
    <t>下</t>
  </si>
  <si>
    <t>―――</t>
  </si>
  <si>
    <t>■■■</t>
  </si>
  <si>
    <t>基幹労働</t>
  </si>
  <si>
    <t>補助労働</t>
  </si>
  <si>
    <t>基幹＋補助</t>
  </si>
  <si>
    <t>区分</t>
  </si>
  <si>
    <t>10a当り</t>
  </si>
  <si>
    <t>算  出  基  礎(10a当り)</t>
  </si>
  <si>
    <t>主  産  物</t>
  </si>
  <si>
    <t>副 産 物 等</t>
  </si>
  <si>
    <t xml:space="preserve">  合  計  (A)</t>
  </si>
  <si>
    <t>生産費用</t>
  </si>
  <si>
    <t>農薬費</t>
  </si>
  <si>
    <t>動力・光熱費</t>
  </si>
  <si>
    <t>農具費</t>
  </si>
  <si>
    <t>農機具修繕費</t>
  </si>
  <si>
    <t>小計</t>
  </si>
  <si>
    <t>手数料</t>
  </si>
  <si>
    <t>包装資材</t>
  </si>
  <si>
    <t>選果料</t>
  </si>
  <si>
    <t>その他</t>
  </si>
  <si>
    <t>支払利子</t>
  </si>
  <si>
    <t>合計　(B)</t>
  </si>
  <si>
    <t>台</t>
  </si>
  <si>
    <t>固定区分</t>
  </si>
  <si>
    <t>副産物</t>
  </si>
  <si>
    <t>奨励金</t>
  </si>
  <si>
    <t>苗</t>
  </si>
  <si>
    <t>その他種苗</t>
  </si>
  <si>
    <t>変動</t>
  </si>
  <si>
    <t>堆肥,有機質肥料</t>
  </si>
  <si>
    <t>微量要素</t>
  </si>
  <si>
    <t>液肥</t>
  </si>
  <si>
    <t>その他肥料</t>
  </si>
  <si>
    <t>殺虫殺菌剤</t>
  </si>
  <si>
    <t>成長調整剤</t>
  </si>
  <si>
    <t>その他農薬</t>
  </si>
  <si>
    <t>Ａ重油</t>
  </si>
  <si>
    <t>電気料</t>
  </si>
  <si>
    <t>畑潅水使用料</t>
  </si>
  <si>
    <t>混合油</t>
  </si>
  <si>
    <t>灯油</t>
  </si>
  <si>
    <t>水道</t>
  </si>
  <si>
    <t>育苗資材</t>
  </si>
  <si>
    <t>被覆資材</t>
  </si>
  <si>
    <t>誘引用資材</t>
  </si>
  <si>
    <t>ハウス被覆資材</t>
  </si>
  <si>
    <t>小農具</t>
  </si>
  <si>
    <t>その他農具</t>
  </si>
  <si>
    <t>修理費</t>
  </si>
  <si>
    <t>土地改良費</t>
  </si>
  <si>
    <t>賃借料</t>
  </si>
  <si>
    <t>利用料</t>
  </si>
  <si>
    <t>その他料金</t>
  </si>
  <si>
    <t>固定</t>
  </si>
  <si>
    <t>その他販売</t>
  </si>
  <si>
    <t>研修費</t>
  </si>
  <si>
    <t>通信費</t>
  </si>
  <si>
    <t>作業用衣料費</t>
  </si>
  <si>
    <t>その他管理</t>
  </si>
  <si>
    <t>月旬</t>
  </si>
  <si>
    <t>燃料種類</t>
  </si>
  <si>
    <t>1月上旬</t>
  </si>
  <si>
    <t>1月中旬</t>
  </si>
  <si>
    <t>t</t>
  </si>
  <si>
    <t>1月下旬</t>
  </si>
  <si>
    <t>不明</t>
  </si>
  <si>
    <t>2月上旬</t>
  </si>
  <si>
    <t>2月中旬</t>
  </si>
  <si>
    <t>ﾘｯﾄﾙ</t>
  </si>
  <si>
    <t>動力光熱費</t>
  </si>
  <si>
    <t>2月下旬</t>
  </si>
  <si>
    <t>錠</t>
  </si>
  <si>
    <t>3月上旬</t>
  </si>
  <si>
    <t>m</t>
  </si>
  <si>
    <t>3月中旬</t>
  </si>
  <si>
    <t>cc</t>
  </si>
  <si>
    <t>3月下旬</t>
  </si>
  <si>
    <t>mg</t>
  </si>
  <si>
    <t>4月上旬</t>
  </si>
  <si>
    <t>本</t>
  </si>
  <si>
    <t>販売経費</t>
  </si>
  <si>
    <t>4月中旬</t>
  </si>
  <si>
    <t>4月下旬</t>
  </si>
  <si>
    <t>kw</t>
  </si>
  <si>
    <t>その他（変動）</t>
  </si>
  <si>
    <t>5月上旬</t>
  </si>
  <si>
    <t>その他（固定）</t>
  </si>
  <si>
    <t>5月中旬</t>
  </si>
  <si>
    <t>箱</t>
  </si>
  <si>
    <t>5月下旬</t>
  </si>
  <si>
    <t>円</t>
  </si>
  <si>
    <t>6月上旬</t>
  </si>
  <si>
    <t>枚</t>
  </si>
  <si>
    <t>6月中旬</t>
  </si>
  <si>
    <t>組</t>
  </si>
  <si>
    <t>6月下旬</t>
  </si>
  <si>
    <t>7月上旬</t>
  </si>
  <si>
    <t>巻</t>
  </si>
  <si>
    <t>7月中旬</t>
  </si>
  <si>
    <t>7月下旬</t>
  </si>
  <si>
    <t>8月中旬</t>
  </si>
  <si>
    <t>Kg（本鉢・個）／10a</t>
  </si>
  <si>
    <t>箱／10a</t>
  </si>
  <si>
    <t>9月上旬</t>
  </si>
  <si>
    <t>円／10a</t>
  </si>
  <si>
    <t>9月中旬</t>
  </si>
  <si>
    <t>円／Kg（本鉢・個）</t>
  </si>
  <si>
    <t>10月上旬</t>
  </si>
  <si>
    <t>円／箱</t>
  </si>
  <si>
    <t>10月下旬</t>
  </si>
  <si>
    <t>11月中旬</t>
  </si>
  <si>
    <t>11月下旬</t>
  </si>
  <si>
    <t>12月中旬</t>
  </si>
  <si>
    <t>12月下旬</t>
  </si>
  <si>
    <t>基幹労働</t>
    <rPh sb="0" eb="2">
      <t>キカン</t>
    </rPh>
    <rPh sb="2" eb="4">
      <t>ロウドウ</t>
    </rPh>
    <phoneticPr fontId="14"/>
  </si>
  <si>
    <t>補助労働</t>
    <rPh sb="0" eb="2">
      <t>ホジョ</t>
    </rPh>
    <rPh sb="2" eb="4">
      <t>ロウドウ</t>
    </rPh>
    <phoneticPr fontId="14"/>
  </si>
  <si>
    <t>労働費（①）</t>
    <phoneticPr fontId="14"/>
  </si>
  <si>
    <t>支払地代（②）</t>
    <phoneticPr fontId="14"/>
  </si>
  <si>
    <t>利　　潤 (A-B=③)</t>
    <rPh sb="0" eb="1">
      <t>リ</t>
    </rPh>
    <rPh sb="3" eb="4">
      <t>ジュン</t>
    </rPh>
    <phoneticPr fontId="14"/>
  </si>
  <si>
    <t>構成員還元額（①＋②＋③）</t>
    <rPh sb="0" eb="3">
      <t>コウセイイン</t>
    </rPh>
    <rPh sb="3" eb="5">
      <t>カンゲン</t>
    </rPh>
    <rPh sb="5" eb="6">
      <t>ガク</t>
    </rPh>
    <phoneticPr fontId="14"/>
  </si>
  <si>
    <t>経営収支</t>
    <phoneticPr fontId="14"/>
  </si>
  <si>
    <t>経　営　費</t>
    <phoneticPr fontId="14"/>
  </si>
  <si>
    <t>アメダスポイント名</t>
    <rPh sb="8" eb="9">
      <t>メイ</t>
    </rPh>
    <phoneticPr fontId="14"/>
  </si>
  <si>
    <t>01岩国</t>
  </si>
  <si>
    <t>02柳井</t>
  </si>
  <si>
    <t>03玖珂</t>
  </si>
  <si>
    <t>04下松</t>
  </si>
  <si>
    <t>05防府</t>
  </si>
  <si>
    <t>06山口</t>
  </si>
  <si>
    <t>07秋吉台</t>
  </si>
  <si>
    <t>14須佐</t>
  </si>
  <si>
    <t>08宇部</t>
  </si>
  <si>
    <t>13徳佐</t>
  </si>
  <si>
    <t>12萩</t>
  </si>
  <si>
    <t>11油谷</t>
  </si>
  <si>
    <t>10豊田</t>
  </si>
  <si>
    <t>09下関</t>
  </si>
  <si>
    <t>支払利子</t>
    <rPh sb="0" eb="2">
      <t>シハライ</t>
    </rPh>
    <phoneticPr fontId="14"/>
  </si>
  <si>
    <t>技術・作型</t>
    <rPh sb="0" eb="2">
      <t>ギジュツ</t>
    </rPh>
    <phoneticPr fontId="14"/>
  </si>
  <si>
    <t>作業名</t>
    <rPh sb="0" eb="2">
      <t>サギョウ</t>
    </rPh>
    <rPh sb="2" eb="3">
      <t>メイ</t>
    </rPh>
    <phoneticPr fontId="14"/>
  </si>
  <si>
    <t>作業体系</t>
    <rPh sb="0" eb="2">
      <t>サギョウ</t>
    </rPh>
    <rPh sb="2" eb="4">
      <t>タイケイ</t>
    </rPh>
    <phoneticPr fontId="14"/>
  </si>
  <si>
    <t>収支データ入力</t>
    <phoneticPr fontId="14"/>
  </si>
  <si>
    <t>飼料費</t>
    <rPh sb="0" eb="2">
      <t>シリョウ</t>
    </rPh>
    <rPh sb="2" eb="3">
      <t>ヒ</t>
    </rPh>
    <phoneticPr fontId="14"/>
  </si>
  <si>
    <t>素畜費</t>
    <rPh sb="0" eb="1">
      <t>モト</t>
    </rPh>
    <rPh sb="1" eb="2">
      <t>チク</t>
    </rPh>
    <rPh sb="2" eb="3">
      <t>ヒ</t>
    </rPh>
    <phoneticPr fontId="14"/>
  </si>
  <si>
    <t>敷料費</t>
    <rPh sb="0" eb="1">
      <t>シ</t>
    </rPh>
    <rPh sb="1" eb="2">
      <t>リョウ</t>
    </rPh>
    <rPh sb="2" eb="3">
      <t>ヒ</t>
    </rPh>
    <phoneticPr fontId="14"/>
  </si>
  <si>
    <t>種付料</t>
    <rPh sb="0" eb="2">
      <t>タネツケ</t>
    </rPh>
    <rPh sb="2" eb="3">
      <t>リョウ</t>
    </rPh>
    <phoneticPr fontId="14"/>
  </si>
  <si>
    <t>診療・医薬品費</t>
    <rPh sb="0" eb="2">
      <t>シンリョウ</t>
    </rPh>
    <rPh sb="3" eb="6">
      <t>イヤクヒン</t>
    </rPh>
    <rPh sb="6" eb="7">
      <t>ヒ</t>
    </rPh>
    <phoneticPr fontId="14"/>
  </si>
  <si>
    <t>収穫</t>
  </si>
  <si>
    <t>棟</t>
    <rPh sb="0" eb="1">
      <t>トウ</t>
    </rPh>
    <phoneticPr fontId="14"/>
  </si>
  <si>
    <t>台</t>
    <rPh sb="0" eb="1">
      <t>ダイ</t>
    </rPh>
    <phoneticPr fontId="14"/>
  </si>
  <si>
    <t>資材・農機具庫</t>
    <rPh sb="0" eb="2">
      <t>シザイ</t>
    </rPh>
    <rPh sb="3" eb="6">
      <t>ノウキグ</t>
    </rPh>
    <rPh sb="6" eb="7">
      <t>コ</t>
    </rPh>
    <phoneticPr fontId="14"/>
  </si>
  <si>
    <t>出荷運賃</t>
  </si>
  <si>
    <t>ＪＡ手数料</t>
  </si>
  <si>
    <t>全農手数料</t>
  </si>
  <si>
    <t>市場手数料</t>
  </si>
  <si>
    <t>機　械</t>
    <rPh sb="0" eb="1">
      <t>キ</t>
    </rPh>
    <rPh sb="2" eb="3">
      <t>カイ</t>
    </rPh>
    <phoneticPr fontId="14"/>
  </si>
  <si>
    <t/>
  </si>
  <si>
    <t>計</t>
    <rPh sb="0" eb="1">
      <t>ケイ</t>
    </rPh>
    <phoneticPr fontId="14"/>
  </si>
  <si>
    <t>基幹労働
人数</t>
    <rPh sb="0" eb="2">
      <t>キカン</t>
    </rPh>
    <rPh sb="2" eb="4">
      <t>ロウドウ</t>
    </rPh>
    <rPh sb="5" eb="7">
      <t>ニンズウ</t>
    </rPh>
    <phoneticPr fontId="14"/>
  </si>
  <si>
    <t>補助労働
人数</t>
    <rPh sb="0" eb="2">
      <t>ホジョ</t>
    </rPh>
    <rPh sb="2" eb="4">
      <t>ロウドウ</t>
    </rPh>
    <rPh sb="5" eb="7">
      <t>ニンズウ</t>
    </rPh>
    <phoneticPr fontId="14"/>
  </si>
  <si>
    <t>労働時間</t>
    <rPh sb="0" eb="2">
      <t>ロウドウ</t>
    </rPh>
    <rPh sb="2" eb="4">
      <t>ジカン</t>
    </rPh>
    <phoneticPr fontId="14"/>
  </si>
  <si>
    <t>基幹労働</t>
    <phoneticPr fontId="14"/>
  </si>
  <si>
    <t>補助労働</t>
    <phoneticPr fontId="14"/>
  </si>
  <si>
    <t>灯油</t>
    <rPh sb="0" eb="2">
      <t>トウユ</t>
    </rPh>
    <phoneticPr fontId="14"/>
  </si>
  <si>
    <t>[EI]</t>
    <phoneticPr fontId="14"/>
  </si>
  <si>
    <t>SpaceFor</t>
    <phoneticPr fontId="14"/>
  </si>
  <si>
    <t>Comment</t>
    <phoneticPr fontId="14"/>
  </si>
  <si>
    <t>Ver3.25</t>
    <phoneticPr fontId="14"/>
  </si>
  <si>
    <t>経営指標の概要</t>
    <rPh sb="0" eb="2">
      <t>ケイエイ</t>
    </rPh>
    <rPh sb="2" eb="4">
      <t>シヒョウ</t>
    </rPh>
    <rPh sb="5" eb="7">
      <t>ガイヨウ</t>
    </rPh>
    <phoneticPr fontId="14"/>
  </si>
  <si>
    <t>No.</t>
    <phoneticPr fontId="14"/>
  </si>
  <si>
    <t>地域</t>
    <phoneticPr fontId="14"/>
  </si>
  <si>
    <t>作目</t>
    <phoneticPr fontId="14"/>
  </si>
  <si>
    <t>作型・品種など</t>
    <phoneticPr fontId="14"/>
  </si>
  <si>
    <t>10ａ当たり粗収益 (円、kg)</t>
    <rPh sb="6" eb="7">
      <t>ソ</t>
    </rPh>
    <rPh sb="7" eb="9">
      <t>シュウエキ</t>
    </rPh>
    <phoneticPr fontId="14"/>
  </si>
  <si>
    <t>10ａ当たり作業労働時間 (時間)</t>
    <phoneticPr fontId="14"/>
  </si>
  <si>
    <t>土地利用</t>
    <rPh sb="0" eb="4">
      <t>トチリヨウ</t>
    </rPh>
    <phoneticPr fontId="14"/>
  </si>
  <si>
    <t>単位収量</t>
    <phoneticPr fontId="14"/>
  </si>
  <si>
    <t>１月上</t>
    <phoneticPr fontId="14"/>
  </si>
  <si>
    <t>７月上</t>
    <phoneticPr fontId="14"/>
  </si>
  <si>
    <t>作付地目</t>
    <phoneticPr fontId="14"/>
  </si>
  <si>
    <t>単価</t>
    <phoneticPr fontId="14"/>
  </si>
  <si>
    <t>１月中</t>
    <phoneticPr fontId="14"/>
  </si>
  <si>
    <t>７月中</t>
    <phoneticPr fontId="14"/>
  </si>
  <si>
    <t>主食用米</t>
    <rPh sb="0" eb="3">
      <t>シュショクヨウ</t>
    </rPh>
    <rPh sb="3" eb="4">
      <t>コメ</t>
    </rPh>
    <phoneticPr fontId="14"/>
  </si>
  <si>
    <t>その他の収益</t>
    <phoneticPr fontId="14"/>
  </si>
  <si>
    <t>１月下</t>
    <phoneticPr fontId="14"/>
  </si>
  <si>
    <t>７月下</t>
    <phoneticPr fontId="14"/>
  </si>
  <si>
    <t>圃場利用/始</t>
    <phoneticPr fontId="14"/>
  </si>
  <si>
    <t>合計</t>
    <phoneticPr fontId="14"/>
  </si>
  <si>
    <t>２月上</t>
    <phoneticPr fontId="14"/>
  </si>
  <si>
    <t>８月上</t>
    <phoneticPr fontId="14"/>
  </si>
  <si>
    <t>圃場利用/終</t>
    <phoneticPr fontId="14"/>
  </si>
  <si>
    <t>10ａ当たり変動費 (円)</t>
    <rPh sb="6" eb="9">
      <t>ヘンドウヒ</t>
    </rPh>
    <phoneticPr fontId="14"/>
  </si>
  <si>
    <t>２月中</t>
    <phoneticPr fontId="14"/>
  </si>
  <si>
    <t>８月中</t>
    <phoneticPr fontId="14"/>
  </si>
  <si>
    <t>作付下限</t>
    <phoneticPr fontId="14"/>
  </si>
  <si>
    <t>種苗費</t>
    <phoneticPr fontId="14"/>
  </si>
  <si>
    <t>２月下</t>
    <phoneticPr fontId="14"/>
  </si>
  <si>
    <t>８月下</t>
    <phoneticPr fontId="14"/>
  </si>
  <si>
    <t>作付上限</t>
    <phoneticPr fontId="14"/>
  </si>
  <si>
    <t>肥料費</t>
    <phoneticPr fontId="14"/>
  </si>
  <si>
    <t>３月上</t>
    <phoneticPr fontId="14"/>
  </si>
  <si>
    <t>９月上</t>
    <phoneticPr fontId="14"/>
  </si>
  <si>
    <t>農薬衛生費</t>
    <phoneticPr fontId="14"/>
  </si>
  <si>
    <t>３月中</t>
    <phoneticPr fontId="14"/>
  </si>
  <si>
    <t>９月中</t>
    <phoneticPr fontId="14"/>
  </si>
  <si>
    <t>光熱動力費</t>
    <phoneticPr fontId="14"/>
  </si>
  <si>
    <t>３月下</t>
    <phoneticPr fontId="14"/>
  </si>
  <si>
    <t>９月下</t>
    <phoneticPr fontId="14"/>
  </si>
  <si>
    <t>その他の諸材料費</t>
    <phoneticPr fontId="14"/>
  </si>
  <si>
    <t>４月上</t>
    <phoneticPr fontId="14"/>
  </si>
  <si>
    <t>10月上</t>
    <phoneticPr fontId="14"/>
  </si>
  <si>
    <t>土地改良・水利費</t>
    <phoneticPr fontId="14"/>
  </si>
  <si>
    <t>４月中</t>
    <phoneticPr fontId="14"/>
  </si>
  <si>
    <t>10月中</t>
    <phoneticPr fontId="14"/>
  </si>
  <si>
    <t>賃借料・料金</t>
    <phoneticPr fontId="14"/>
  </si>
  <si>
    <t>４月下</t>
    <phoneticPr fontId="14"/>
  </si>
  <si>
    <t>10月下</t>
    <phoneticPr fontId="14"/>
  </si>
  <si>
    <t>荷造運賃手数料</t>
    <phoneticPr fontId="14"/>
  </si>
  <si>
    <t>５月上</t>
    <phoneticPr fontId="14"/>
  </si>
  <si>
    <t>11月上</t>
    <phoneticPr fontId="14"/>
  </si>
  <si>
    <t>その他の費用</t>
    <phoneticPr fontId="14"/>
  </si>
  <si>
    <t>５月中</t>
    <phoneticPr fontId="14"/>
  </si>
  <si>
    <t>11月中</t>
    <phoneticPr fontId="14"/>
  </si>
  <si>
    <t>５月下</t>
    <phoneticPr fontId="14"/>
  </si>
  <si>
    <t>11月下</t>
    <phoneticPr fontId="14"/>
  </si>
  <si>
    <t>６月上</t>
    <phoneticPr fontId="14"/>
  </si>
  <si>
    <t>12月上</t>
    <phoneticPr fontId="14"/>
  </si>
  <si>
    <t>比例利益 (利益係数)</t>
    <rPh sb="0" eb="2">
      <t>ヒレイ</t>
    </rPh>
    <rPh sb="6" eb="8">
      <t>リエキ</t>
    </rPh>
    <rPh sb="8" eb="10">
      <t>ケイスウ</t>
    </rPh>
    <phoneticPr fontId="14"/>
  </si>
  <si>
    <t>６月中</t>
    <phoneticPr fontId="14"/>
  </si>
  <si>
    <t>12月中</t>
    <phoneticPr fontId="14"/>
  </si>
  <si>
    <t>する</t>
  </si>
  <si>
    <t>６月下</t>
    <phoneticPr fontId="14"/>
  </si>
  <si>
    <t>12月下</t>
    <phoneticPr fontId="14"/>
  </si>
  <si>
    <t>入力方法</t>
    <rPh sb="0" eb="2">
      <t>ニュウリョク</t>
    </rPh>
    <rPh sb="2" eb="4">
      <t>ホウホウ</t>
    </rPh>
    <phoneticPr fontId="14"/>
  </si>
  <si>
    <t>セルの色</t>
    <rPh sb="3" eb="4">
      <t>イロ</t>
    </rPh>
    <phoneticPr fontId="14"/>
  </si>
  <si>
    <t>手入力</t>
    <rPh sb="0" eb="1">
      <t>テ</t>
    </rPh>
    <rPh sb="1" eb="3">
      <t>ニュウリョク</t>
    </rPh>
    <phoneticPr fontId="14"/>
  </si>
  <si>
    <t>リストから選択</t>
    <rPh sb="5" eb="7">
      <t>センタク</t>
    </rPh>
    <phoneticPr fontId="14"/>
  </si>
  <si>
    <t>自動計算(手入力しないでください)</t>
    <rPh sb="0" eb="2">
      <t>ジドウ</t>
    </rPh>
    <rPh sb="2" eb="4">
      <t>ケイサン</t>
    </rPh>
    <rPh sb="5" eb="6">
      <t>テ</t>
    </rPh>
    <rPh sb="6" eb="8">
      <t>ニュウリョク</t>
    </rPh>
    <phoneticPr fontId="14"/>
  </si>
  <si>
    <t>シートの色</t>
    <rPh sb="4" eb="5">
      <t>イロ</t>
    </rPh>
    <phoneticPr fontId="14"/>
  </si>
  <si>
    <t>必要事項を入力してください</t>
    <rPh sb="0" eb="2">
      <t>ヒツヨウ</t>
    </rPh>
    <rPh sb="2" eb="4">
      <t>ジコウ</t>
    </rPh>
    <rPh sb="5" eb="7">
      <t>ニュウリョク</t>
    </rPh>
    <phoneticPr fontId="14"/>
  </si>
  <si>
    <t>結果が反映されます</t>
    <rPh sb="0" eb="2">
      <t>ケッカ</t>
    </rPh>
    <rPh sb="3" eb="5">
      <t>ハンエイ</t>
    </rPh>
    <phoneticPr fontId="14"/>
  </si>
  <si>
    <t>参考</t>
    <rPh sb="0" eb="2">
      <t>サンコウ</t>
    </rPh>
    <phoneticPr fontId="14"/>
  </si>
  <si>
    <t>当たり労働時間（単位：時間）</t>
    <rPh sb="0" eb="1">
      <t>ア</t>
    </rPh>
    <rPh sb="3" eb="5">
      <t>ロウドウ</t>
    </rPh>
    <rPh sb="5" eb="7">
      <t>ジカン</t>
    </rPh>
    <rPh sb="8" eb="10">
      <t>タンイ</t>
    </rPh>
    <rPh sb="11" eb="13">
      <t>ジカン</t>
    </rPh>
    <phoneticPr fontId="14"/>
  </si>
  <si>
    <t>必要となる労働時間の合計</t>
    <rPh sb="0" eb="2">
      <t>ヒツヨウ</t>
    </rPh>
    <rPh sb="5" eb="7">
      <t>ロウドウ</t>
    </rPh>
    <rPh sb="7" eb="9">
      <t>ジカン</t>
    </rPh>
    <rPh sb="10" eb="12">
      <t>ゴウケイ</t>
    </rPh>
    <phoneticPr fontId="14"/>
  </si>
  <si>
    <t>余剰または不足労力</t>
    <rPh sb="0" eb="2">
      <t>ヨジョウ</t>
    </rPh>
    <rPh sb="5" eb="7">
      <t>フソク</t>
    </rPh>
    <rPh sb="7" eb="9">
      <t>ロウリョク</t>
    </rPh>
    <phoneticPr fontId="14"/>
  </si>
  <si>
    <t>ａ</t>
    <phoneticPr fontId="14"/>
  </si>
  <si>
    <t>自家労力の上限</t>
    <rPh sb="0" eb="2">
      <t>ジカ</t>
    </rPh>
    <rPh sb="2" eb="4">
      <t>ロウリョク</t>
    </rPh>
    <rPh sb="5" eb="7">
      <t>ジョウゲン</t>
    </rPh>
    <phoneticPr fontId="14"/>
  </si>
  <si>
    <t>月</t>
    <rPh sb="0" eb="1">
      <t>ツキ</t>
    </rPh>
    <phoneticPr fontId="14"/>
  </si>
  <si>
    <t>粗収益(円/10a）</t>
    <rPh sb="4" eb="5">
      <t>エン</t>
    </rPh>
    <phoneticPr fontId="14"/>
  </si>
  <si>
    <t>合計</t>
    <rPh sb="0" eb="2">
      <t>ゴウケイ</t>
    </rPh>
    <phoneticPr fontId="14"/>
  </si>
  <si>
    <t>②償却資産　建物　年修理費（10a当り）</t>
    <rPh sb="1" eb="3">
      <t>ショウキャク</t>
    </rPh>
    <rPh sb="3" eb="5">
      <t>シサン</t>
    </rPh>
    <rPh sb="6" eb="8">
      <t>タテモノ</t>
    </rPh>
    <rPh sb="9" eb="10">
      <t>ネン</t>
    </rPh>
    <rPh sb="10" eb="13">
      <t>シュウリヒ</t>
    </rPh>
    <rPh sb="17" eb="18">
      <t>ア</t>
    </rPh>
    <phoneticPr fontId="14"/>
  </si>
  <si>
    <t>施設修繕費</t>
    <rPh sb="0" eb="2">
      <t>シセツ</t>
    </rPh>
    <phoneticPr fontId="14"/>
  </si>
  <si>
    <t>②償却資産　施設　年修理費（10a当り）</t>
    <rPh sb="1" eb="3">
      <t>ショウキャク</t>
    </rPh>
    <rPh sb="3" eb="5">
      <t>シサン</t>
    </rPh>
    <rPh sb="6" eb="8">
      <t>シセツ</t>
    </rPh>
    <rPh sb="9" eb="10">
      <t>ネン</t>
    </rPh>
    <rPh sb="10" eb="13">
      <t>シュウリヒ</t>
    </rPh>
    <rPh sb="17" eb="18">
      <t>ア</t>
    </rPh>
    <phoneticPr fontId="14"/>
  </si>
  <si>
    <t>②償却資産　機械　年修理費（10a当り）</t>
    <rPh sb="1" eb="3">
      <t>ショウキャク</t>
    </rPh>
    <rPh sb="3" eb="5">
      <t>シサン</t>
    </rPh>
    <rPh sb="6" eb="8">
      <t>キカイ</t>
    </rPh>
    <rPh sb="9" eb="10">
      <t>ネン</t>
    </rPh>
    <rPh sb="10" eb="13">
      <t>シュウリヒ</t>
    </rPh>
    <rPh sb="17" eb="18">
      <t>ア</t>
    </rPh>
    <phoneticPr fontId="14"/>
  </si>
  <si>
    <t>修繕費</t>
    <rPh sb="0" eb="3">
      <t>シュウゼンヒ</t>
    </rPh>
    <phoneticPr fontId="14"/>
  </si>
  <si>
    <t>減価償却費</t>
    <rPh sb="0" eb="2">
      <t>ゲンカ</t>
    </rPh>
    <rPh sb="2" eb="4">
      <t>ショウキャク</t>
    </rPh>
    <rPh sb="4" eb="5">
      <t>ヒ</t>
    </rPh>
    <phoneticPr fontId="14"/>
  </si>
  <si>
    <t>施設</t>
    <rPh sb="0" eb="2">
      <t>シセツ</t>
    </rPh>
    <phoneticPr fontId="14"/>
  </si>
  <si>
    <t>農機具</t>
    <phoneticPr fontId="14"/>
  </si>
  <si>
    <t>大植物</t>
    <rPh sb="0" eb="1">
      <t>ダイ</t>
    </rPh>
    <rPh sb="1" eb="3">
      <t>ショクブツ</t>
    </rPh>
    <phoneticPr fontId="14"/>
  </si>
  <si>
    <t>②償却資産　建物　年償却費（10a当り）</t>
    <rPh sb="1" eb="3">
      <t>ショウキャク</t>
    </rPh>
    <rPh sb="3" eb="5">
      <t>シサン</t>
    </rPh>
    <rPh sb="6" eb="8">
      <t>タテモノ</t>
    </rPh>
    <rPh sb="9" eb="10">
      <t>ネン</t>
    </rPh>
    <rPh sb="10" eb="12">
      <t>ショウキャク</t>
    </rPh>
    <rPh sb="12" eb="13">
      <t>ヒ</t>
    </rPh>
    <rPh sb="17" eb="18">
      <t>ア</t>
    </rPh>
    <phoneticPr fontId="14"/>
  </si>
  <si>
    <t>想定規模(ha)</t>
    <phoneticPr fontId="14"/>
  </si>
  <si>
    <t>作業
回数</t>
    <phoneticPr fontId="14"/>
  </si>
  <si>
    <t>時間当り消費量</t>
    <phoneticPr fontId="14"/>
  </si>
  <si>
    <t>10a当り
消費量</t>
    <phoneticPr fontId="14"/>
  </si>
  <si>
    <t>農具費</t>
    <rPh sb="0" eb="2">
      <t>ノウグ</t>
    </rPh>
    <rPh sb="2" eb="3">
      <t>ヒ</t>
    </rPh>
    <phoneticPr fontId="14"/>
  </si>
  <si>
    <t>賃借料・利用料</t>
    <phoneticPr fontId="14"/>
  </si>
  <si>
    <t>労働配分</t>
    <rPh sb="0" eb="2">
      <t>ロウドウ</t>
    </rPh>
    <rPh sb="2" eb="4">
      <t>ハイブン</t>
    </rPh>
    <phoneticPr fontId="14"/>
  </si>
  <si>
    <t>建物修繕費</t>
    <phoneticPr fontId="14"/>
  </si>
  <si>
    <t>建物</t>
    <phoneticPr fontId="14"/>
  </si>
  <si>
    <t>時給(イ)</t>
    <rPh sb="0" eb="2">
      <t>ジキュウ</t>
    </rPh>
    <phoneticPr fontId="14"/>
  </si>
  <si>
    <t>労働費(ア)×(イ)</t>
    <rPh sb="0" eb="3">
      <t>ロウドウヒ</t>
    </rPh>
    <phoneticPr fontId="14"/>
  </si>
  <si>
    <t>粗収益</t>
    <rPh sb="0" eb="1">
      <t>ソ</t>
    </rPh>
    <rPh sb="1" eb="3">
      <t>シュウエキ</t>
    </rPh>
    <phoneticPr fontId="14"/>
  </si>
  <si>
    <t>通年</t>
    <rPh sb="0" eb="2">
      <t>ツウネン</t>
    </rPh>
    <phoneticPr fontId="14"/>
  </si>
  <si>
    <t>副産物
(円/10a)</t>
    <rPh sb="0" eb="3">
      <t>フクサンブツ</t>
    </rPh>
    <rPh sb="5" eb="6">
      <t>エン</t>
    </rPh>
    <phoneticPr fontId="14"/>
  </si>
  <si>
    <t>その他奨励金
(円/10a)</t>
    <rPh sb="2" eb="3">
      <t>タ</t>
    </rPh>
    <rPh sb="3" eb="6">
      <t>ショウレイキン</t>
    </rPh>
    <rPh sb="8" eb="9">
      <t>エン</t>
    </rPh>
    <phoneticPr fontId="14"/>
  </si>
  <si>
    <t>その他奨励金</t>
    <rPh sb="2" eb="3">
      <t>タ</t>
    </rPh>
    <rPh sb="3" eb="6">
      <t>ショウレイキン</t>
    </rPh>
    <phoneticPr fontId="14"/>
  </si>
  <si>
    <t>④収入　粗収益</t>
    <rPh sb="1" eb="3">
      <t>シュウニュウ</t>
    </rPh>
    <rPh sb="4" eb="5">
      <t>ソ</t>
    </rPh>
    <rPh sb="5" eb="7">
      <t>シュウエキ</t>
    </rPh>
    <phoneticPr fontId="14"/>
  </si>
  <si>
    <t>④収入　副産物</t>
    <rPh sb="1" eb="3">
      <t>シュウニュウ</t>
    </rPh>
    <rPh sb="4" eb="7">
      <t>フクサンブツ</t>
    </rPh>
    <phoneticPr fontId="14"/>
  </si>
  <si>
    <t>④収入　その他奨励金</t>
    <rPh sb="1" eb="3">
      <t>シュウニュウ</t>
    </rPh>
    <rPh sb="6" eb="7">
      <t>タ</t>
    </rPh>
    <rPh sb="7" eb="10">
      <t>ショウレイキン</t>
    </rPh>
    <phoneticPr fontId="14"/>
  </si>
  <si>
    <t>⑤支出　種苗費</t>
    <rPh sb="1" eb="3">
      <t>シシュツ</t>
    </rPh>
    <rPh sb="4" eb="6">
      <t>シュビョウ</t>
    </rPh>
    <rPh sb="6" eb="7">
      <t>ヒ</t>
    </rPh>
    <phoneticPr fontId="14"/>
  </si>
  <si>
    <t>⑤支出　肥料費</t>
    <rPh sb="1" eb="3">
      <t>シシュツ</t>
    </rPh>
    <rPh sb="4" eb="6">
      <t>ヒリョウ</t>
    </rPh>
    <rPh sb="6" eb="7">
      <t>ヒ</t>
    </rPh>
    <phoneticPr fontId="14"/>
  </si>
  <si>
    <t>⑤支出　農業薬剤費</t>
    <rPh sb="1" eb="3">
      <t>シシュツ</t>
    </rPh>
    <rPh sb="4" eb="6">
      <t>ノウギョウ</t>
    </rPh>
    <rPh sb="6" eb="9">
      <t>ヤクザイヒ</t>
    </rPh>
    <phoneticPr fontId="14"/>
  </si>
  <si>
    <t>⑤支出　動力光熱費</t>
    <rPh sb="1" eb="3">
      <t>シシュツ</t>
    </rPh>
    <rPh sb="4" eb="6">
      <t>ドウリョク</t>
    </rPh>
    <rPh sb="6" eb="9">
      <t>コウネツヒ</t>
    </rPh>
    <phoneticPr fontId="14"/>
  </si>
  <si>
    <t>⑤支出　諸材料費</t>
    <rPh sb="1" eb="3">
      <t>シシュツ</t>
    </rPh>
    <rPh sb="4" eb="5">
      <t>ショ</t>
    </rPh>
    <rPh sb="5" eb="8">
      <t>ザイリョウヒ</t>
    </rPh>
    <phoneticPr fontId="14"/>
  </si>
  <si>
    <t>⑤支出　農具費</t>
    <rPh sb="1" eb="3">
      <t>シシュツ</t>
    </rPh>
    <rPh sb="4" eb="6">
      <t>ノウグ</t>
    </rPh>
    <rPh sb="6" eb="7">
      <t>ヒ</t>
    </rPh>
    <phoneticPr fontId="14"/>
  </si>
  <si>
    <t>⑤支出　賃借料・利用料</t>
    <rPh sb="1" eb="3">
      <t>シシュツ</t>
    </rPh>
    <rPh sb="4" eb="7">
      <t>チンシャクリョウ</t>
    </rPh>
    <rPh sb="8" eb="11">
      <t>リヨウリョウ</t>
    </rPh>
    <phoneticPr fontId="14"/>
  </si>
  <si>
    <t>土地改良・水利費</t>
    <phoneticPr fontId="14"/>
  </si>
  <si>
    <t>⑤支出　土地改良・水利費</t>
    <rPh sb="1" eb="3">
      <t>シシュツ</t>
    </rPh>
    <phoneticPr fontId="14"/>
  </si>
  <si>
    <t>土地改良
・水利費</t>
    <phoneticPr fontId="14"/>
  </si>
  <si>
    <t>支払地代</t>
    <phoneticPr fontId="14"/>
  </si>
  <si>
    <t>賃借料・
利用料</t>
    <phoneticPr fontId="14"/>
  </si>
  <si>
    <t>保険料・共済掛金</t>
    <phoneticPr fontId="14"/>
  </si>
  <si>
    <t>保険料・
共済掛金</t>
    <phoneticPr fontId="14"/>
  </si>
  <si>
    <t>一般管理費</t>
    <phoneticPr fontId="14"/>
  </si>
  <si>
    <t>一般管理費</t>
    <phoneticPr fontId="14"/>
  </si>
  <si>
    <t>農業用租税公課</t>
    <phoneticPr fontId="14"/>
  </si>
  <si>
    <t>農業用
租税公課</t>
    <phoneticPr fontId="14"/>
  </si>
  <si>
    <t>その他</t>
    <rPh sb="2" eb="3">
      <t>タ</t>
    </rPh>
    <phoneticPr fontId="14"/>
  </si>
  <si>
    <t>⑤支出　支払地代</t>
    <rPh sb="1" eb="3">
      <t>シシュツ</t>
    </rPh>
    <rPh sb="4" eb="6">
      <t>シハライ</t>
    </rPh>
    <rPh sb="6" eb="8">
      <t>チダイ</t>
    </rPh>
    <phoneticPr fontId="14"/>
  </si>
  <si>
    <t>⑤支出　保険料・共済掛金</t>
    <rPh sb="1" eb="3">
      <t>シシュツ</t>
    </rPh>
    <rPh sb="4" eb="7">
      <t>ホケンリョウ</t>
    </rPh>
    <rPh sb="8" eb="10">
      <t>キョウサイ</t>
    </rPh>
    <rPh sb="10" eb="12">
      <t>カケキン</t>
    </rPh>
    <phoneticPr fontId="14"/>
  </si>
  <si>
    <t>⑤支出　一般管理費</t>
    <rPh sb="1" eb="3">
      <t>シシュツ</t>
    </rPh>
    <rPh sb="4" eb="6">
      <t>イッパン</t>
    </rPh>
    <rPh sb="6" eb="9">
      <t>カンリヒ</t>
    </rPh>
    <phoneticPr fontId="14"/>
  </si>
  <si>
    <t>⑤支出　農業用租税公課</t>
    <rPh sb="1" eb="3">
      <t>シシュツ</t>
    </rPh>
    <rPh sb="4" eb="7">
      <t>ノウギョウヨウ</t>
    </rPh>
    <rPh sb="7" eb="9">
      <t>ソゼイ</t>
    </rPh>
    <rPh sb="9" eb="11">
      <t>コウカ</t>
    </rPh>
    <phoneticPr fontId="14"/>
  </si>
  <si>
    <t>その他</t>
    <phoneticPr fontId="14"/>
  </si>
  <si>
    <t>⑤支出　その他</t>
    <rPh sb="1" eb="3">
      <t>シシュツ</t>
    </rPh>
    <rPh sb="6" eb="7">
      <t>タ</t>
    </rPh>
    <phoneticPr fontId="14"/>
  </si>
  <si>
    <t>改良資材散布</t>
  </si>
  <si>
    <t>土壌改良資材散布</t>
  </si>
  <si>
    <t>10下～11上</t>
  </si>
  <si>
    <t>トラクター30ps、ライムソワー、ミネラルGF</t>
  </si>
  <si>
    <t>山口県農業経営指標</t>
  </si>
  <si>
    <t>耕転</t>
  </si>
  <si>
    <t>耕起、砕土、土づくり</t>
  </si>
  <si>
    <t>トラクター30ps、ロータリー</t>
  </si>
  <si>
    <t>畦立・施肥・播種</t>
  </si>
  <si>
    <t>施肥同時播種</t>
  </si>
  <si>
    <t>トラクター30ps、ロータリー＋畦整形板＋施肥播種期</t>
  </si>
  <si>
    <t>除草剤散布</t>
  </si>
  <si>
    <t>11中～12上</t>
  </si>
  <si>
    <t>乗用管理機、ブームスプレイヤ</t>
  </si>
  <si>
    <t>踏圧</t>
  </si>
  <si>
    <t>3回</t>
  </si>
  <si>
    <t>乗用管理機、鎮圧ローラ</t>
  </si>
  <si>
    <t>中耕</t>
  </si>
  <si>
    <t>中耕、雑草管理</t>
  </si>
  <si>
    <t>乗用管理機、３連カルチ</t>
  </si>
  <si>
    <t>溝上・土入</t>
  </si>
  <si>
    <t>溝さらえ、土入れ（2回）</t>
  </si>
  <si>
    <t>乗用管理機、２連カルチ</t>
  </si>
  <si>
    <t>施肥</t>
  </si>
  <si>
    <t>乗用管理機、フロントソワー＋3連カルチ</t>
  </si>
  <si>
    <t>コンバイン収穫</t>
  </si>
  <si>
    <t>コンバイン</t>
  </si>
  <si>
    <t>出荷</t>
  </si>
  <si>
    <t>軽四輪トラック</t>
  </si>
  <si>
    <t>排水対策</t>
  </si>
  <si>
    <t>心土破砕、額縁明渠</t>
  </si>
  <si>
    <t>トラクター30ps、サブソイラー、溝掘機</t>
  </si>
  <si>
    <t>畦立条播</t>
    <rPh sb="0" eb="1">
      <t>ウネ</t>
    </rPh>
    <rPh sb="1" eb="2">
      <t>タ</t>
    </rPh>
    <rPh sb="2" eb="3">
      <t>ジョウ</t>
    </rPh>
    <rPh sb="3" eb="4">
      <t>ハリ</t>
    </rPh>
    <phoneticPr fontId="14"/>
  </si>
  <si>
    <t>平坦地</t>
  </si>
  <si>
    <t>100㎡</t>
  </si>
  <si>
    <t>30ps、ロータリー</t>
  </si>
  <si>
    <t>300ﾘﾄｯﾙ</t>
  </si>
  <si>
    <t>65ﾘｯﾄﾙ</t>
  </si>
  <si>
    <t>４条・畦整形板</t>
    <rPh sb="1" eb="2">
      <t>ジョウ</t>
    </rPh>
    <rPh sb="3" eb="4">
      <t>ウネ</t>
    </rPh>
    <rPh sb="4" eb="6">
      <t>セイケイ</t>
    </rPh>
    <rPh sb="6" eb="7">
      <t>バン</t>
    </rPh>
    <phoneticPr fontId="14"/>
  </si>
  <si>
    <t>4条・48ps・グレンタンク</t>
    <rPh sb="1" eb="2">
      <t>ジョウ</t>
    </rPh>
    <phoneticPr fontId="14"/>
  </si>
  <si>
    <t>10ｍ</t>
  </si>
  <si>
    <t>トラクター</t>
    <phoneticPr fontId="14"/>
  </si>
  <si>
    <t>ライムソワー</t>
  </si>
  <si>
    <t>ライムソワー</t>
    <phoneticPr fontId="14"/>
  </si>
  <si>
    <t>フロントソワー</t>
  </si>
  <si>
    <t>自脱型コンバイン</t>
    <rPh sb="0" eb="1">
      <t>ジ</t>
    </rPh>
    <rPh sb="1" eb="2">
      <t>ダツ</t>
    </rPh>
    <rPh sb="2" eb="3">
      <t>ガタ</t>
    </rPh>
    <phoneticPr fontId="14"/>
  </si>
  <si>
    <t>乗用管理機</t>
    <rPh sb="0" eb="2">
      <t>ジョウヨウ</t>
    </rPh>
    <rPh sb="2" eb="4">
      <t>カンリ</t>
    </rPh>
    <rPh sb="4" eb="5">
      <t>キ</t>
    </rPh>
    <phoneticPr fontId="14"/>
  </si>
  <si>
    <t>ブームスプレーヤ</t>
  </si>
  <si>
    <t>ローラ</t>
    <phoneticPr fontId="14"/>
  </si>
  <si>
    <t>カルチ</t>
    <phoneticPr fontId="14"/>
  </si>
  <si>
    <t>軽四輪トラック</t>
    <phoneticPr fontId="14"/>
  </si>
  <si>
    <t>サブソイラ</t>
  </si>
  <si>
    <t>サブソイラ</t>
    <phoneticPr fontId="14"/>
  </si>
  <si>
    <t>溝掘機</t>
    <phoneticPr fontId="14"/>
  </si>
  <si>
    <t>改良資材散布</t>
    <rPh sb="0" eb="2">
      <t>カイリョウ</t>
    </rPh>
    <rPh sb="2" eb="4">
      <t>シザイ</t>
    </rPh>
    <rPh sb="4" eb="6">
      <t>サンプ</t>
    </rPh>
    <phoneticPr fontId="2"/>
  </si>
  <si>
    <t>トラクター30ps</t>
  </si>
  <si>
    <t>ロータリー</t>
  </si>
  <si>
    <t>畦立・施肥・播種</t>
    <rPh sb="0" eb="1">
      <t>ウネ</t>
    </rPh>
    <rPh sb="1" eb="2">
      <t>タ</t>
    </rPh>
    <rPh sb="3" eb="5">
      <t>セヒ</t>
    </rPh>
    <rPh sb="6" eb="8">
      <t>ハシュ</t>
    </rPh>
    <phoneticPr fontId="2"/>
  </si>
  <si>
    <t>ﾛｰﾀﾘｰ＋畦整形板＋施肥播種機</t>
    <rPh sb="6" eb="7">
      <t>ウネ</t>
    </rPh>
    <rPh sb="7" eb="10">
      <t>セイケイバン</t>
    </rPh>
    <rPh sb="11" eb="13">
      <t>セヒ</t>
    </rPh>
    <rPh sb="13" eb="15">
      <t>ハシュ</t>
    </rPh>
    <rPh sb="15" eb="16">
      <t>キ</t>
    </rPh>
    <phoneticPr fontId="2"/>
  </si>
  <si>
    <t>除草剤散布</t>
    <rPh sb="0" eb="3">
      <t>ジョソウザイ</t>
    </rPh>
    <rPh sb="3" eb="5">
      <t>サンプ</t>
    </rPh>
    <phoneticPr fontId="2"/>
  </si>
  <si>
    <t>乗用管理機</t>
    <rPh sb="0" eb="2">
      <t>ジョウヨウ</t>
    </rPh>
    <rPh sb="2" eb="4">
      <t>カンリ</t>
    </rPh>
    <rPh sb="4" eb="5">
      <t>キ</t>
    </rPh>
    <phoneticPr fontId="2"/>
  </si>
  <si>
    <t>ブームスプレイヤ</t>
  </si>
  <si>
    <t>踏圧</t>
    <rPh sb="0" eb="1">
      <t>トウ</t>
    </rPh>
    <rPh sb="1" eb="2">
      <t>アツ</t>
    </rPh>
    <phoneticPr fontId="2"/>
  </si>
  <si>
    <t>1月下旬</t>
    <rPh sb="1" eb="2">
      <t>ガツ</t>
    </rPh>
    <rPh sb="2" eb="4">
      <t>ゲジュン</t>
    </rPh>
    <phoneticPr fontId="16"/>
  </si>
  <si>
    <t>鎮圧ローラ</t>
    <rPh sb="0" eb="2">
      <t>チンアツ</t>
    </rPh>
    <phoneticPr fontId="2"/>
  </si>
  <si>
    <t>中耕</t>
    <rPh sb="0" eb="2">
      <t>チュウコウ</t>
    </rPh>
    <phoneticPr fontId="2"/>
  </si>
  <si>
    <t>3連ｶﾙﾁ</t>
    <rPh sb="1" eb="2">
      <t>レン</t>
    </rPh>
    <phoneticPr fontId="2"/>
  </si>
  <si>
    <t>溝上・土入</t>
    <rPh sb="0" eb="1">
      <t>ミゾ</t>
    </rPh>
    <rPh sb="1" eb="2">
      <t>ア</t>
    </rPh>
    <rPh sb="3" eb="4">
      <t>ツチ</t>
    </rPh>
    <rPh sb="4" eb="5">
      <t>イ</t>
    </rPh>
    <phoneticPr fontId="2"/>
  </si>
  <si>
    <t>2連ｶﾙﾁ</t>
    <rPh sb="1" eb="2">
      <t>レン</t>
    </rPh>
    <phoneticPr fontId="2"/>
  </si>
  <si>
    <t>施肥</t>
    <rPh sb="0" eb="2">
      <t>セヒ</t>
    </rPh>
    <phoneticPr fontId="2"/>
  </si>
  <si>
    <t>ﾌﾛﾝﾄｿﾜｰ＋3連ｶﾙﾁ</t>
    <rPh sb="9" eb="10">
      <t>レン</t>
    </rPh>
    <phoneticPr fontId="2"/>
  </si>
  <si>
    <t>収穫</t>
    <rPh sb="0" eb="2">
      <t>シュウカク</t>
    </rPh>
    <phoneticPr fontId="2"/>
  </si>
  <si>
    <t>出荷</t>
    <rPh sb="0" eb="2">
      <t>シュッカ</t>
    </rPh>
    <phoneticPr fontId="2"/>
  </si>
  <si>
    <t>軽四輪トラック</t>
    <rPh sb="0" eb="1">
      <t>ケイ</t>
    </rPh>
    <rPh sb="1" eb="3">
      <t>ヨンリン</t>
    </rPh>
    <phoneticPr fontId="2"/>
  </si>
  <si>
    <t>2月下旬</t>
    <rPh sb="1" eb="2">
      <t>ガツ</t>
    </rPh>
    <rPh sb="2" eb="4">
      <t>ゲジュン</t>
    </rPh>
    <phoneticPr fontId="16"/>
  </si>
  <si>
    <t>溝掘機</t>
    <rPh sb="0" eb="1">
      <t>ミゾ</t>
    </rPh>
    <rPh sb="1" eb="2">
      <t>ホ</t>
    </rPh>
    <rPh sb="2" eb="3">
      <t>キ</t>
    </rPh>
    <phoneticPr fontId="14"/>
  </si>
  <si>
    <t>需要に対応できる麦作栽培指針（H16.11)</t>
    <rPh sb="0" eb="2">
      <t>ジュヨウ</t>
    </rPh>
    <rPh sb="3" eb="5">
      <t>タイオウ</t>
    </rPh>
    <rPh sb="8" eb="9">
      <t>バク</t>
    </rPh>
    <rPh sb="9" eb="10">
      <t>サク</t>
    </rPh>
    <rPh sb="10" eb="12">
      <t>サイバイ</t>
    </rPh>
    <rPh sb="12" eb="14">
      <t>シシン</t>
    </rPh>
    <phoneticPr fontId="2"/>
  </si>
  <si>
    <t>RC１往復</t>
    <rPh sb="3" eb="5">
      <t>オウフク</t>
    </rPh>
    <phoneticPr fontId="2"/>
  </si>
  <si>
    <t>炭酸苦土石灰</t>
  </si>
  <si>
    <t>燐加安444</t>
  </si>
  <si>
    <t>ガレース乳剤</t>
  </si>
  <si>
    <t>シルバキュアフロアブル</t>
  </si>
  <si>
    <t>ﾄｯﾌﾟｼﾞﾝM水和剤</t>
  </si>
  <si>
    <t>ｋｇ</t>
  </si>
  <si>
    <t>RC利用料</t>
  </si>
  <si>
    <t>出荷袋</t>
  </si>
  <si>
    <t>ビール大麦</t>
    <rPh sb="3" eb="5">
      <t>オオムギ</t>
    </rPh>
    <phoneticPr fontId="14"/>
  </si>
  <si>
    <t>サチホゴールデン</t>
  </si>
  <si>
    <t>病害虫防除</t>
  </si>
  <si>
    <t>赤かび病防除（２回）</t>
  </si>
  <si>
    <t>4上～４下</t>
  </si>
  <si>
    <t>1中、２中～２下</t>
  </si>
  <si>
    <t>2上</t>
  </si>
  <si>
    <t>２下～３上</t>
  </si>
  <si>
    <t>追肥</t>
  </si>
  <si>
    <t>1中下、2月下</t>
  </si>
  <si>
    <t>5下</t>
  </si>
  <si>
    <t>H24年産アサカゴールド種子価格</t>
    <rPh sb="3" eb="4">
      <t>ネン</t>
    </rPh>
    <rPh sb="4" eb="5">
      <t>サン</t>
    </rPh>
    <rPh sb="12" eb="14">
      <t>シュシ</t>
    </rPh>
    <rPh sb="14" eb="16">
      <t>カカク</t>
    </rPh>
    <phoneticPr fontId="14"/>
  </si>
  <si>
    <t>イチバンボシ指標</t>
    <rPh sb="6" eb="8">
      <t>シヒョウ</t>
    </rPh>
    <phoneticPr fontId="14"/>
  </si>
  <si>
    <t>一般管理費</t>
    <rPh sb="0" eb="2">
      <t>イッパン</t>
    </rPh>
    <rPh sb="2" eb="5">
      <t>カンリヒ</t>
    </rPh>
    <phoneticPr fontId="26"/>
  </si>
  <si>
    <t>地代</t>
    <rPh sb="0" eb="2">
      <t>チダイ</t>
    </rPh>
    <phoneticPr fontId="26"/>
  </si>
  <si>
    <t>○</t>
    <phoneticPr fontId="14"/>
  </si>
  <si>
    <t>△</t>
  </si>
  <si>
    <t>▽</t>
  </si>
  <si>
    <t>▼</t>
  </si>
  <si>
    <t>▲</t>
  </si>
  <si>
    <t>②償却資産　施設　年償却費（10a当り）</t>
    <rPh sb="1" eb="3">
      <t>ショウキャク</t>
    </rPh>
    <rPh sb="3" eb="5">
      <t>シサン</t>
    </rPh>
    <rPh sb="6" eb="8">
      <t>シセツ</t>
    </rPh>
    <rPh sb="9" eb="10">
      <t>ネン</t>
    </rPh>
    <rPh sb="10" eb="12">
      <t>ショウキャク</t>
    </rPh>
    <rPh sb="12" eb="13">
      <t>ヒ</t>
    </rPh>
    <rPh sb="17" eb="18">
      <t>ア</t>
    </rPh>
    <phoneticPr fontId="14"/>
  </si>
  <si>
    <t>②償却資産　機械　年償却費（10a当り）</t>
    <rPh sb="1" eb="3">
      <t>ショウキャク</t>
    </rPh>
    <rPh sb="3" eb="5">
      <t>シサン</t>
    </rPh>
    <rPh sb="6" eb="8">
      <t>キカイ</t>
    </rPh>
    <rPh sb="9" eb="10">
      <t>ネン</t>
    </rPh>
    <rPh sb="10" eb="12">
      <t>ショウキャク</t>
    </rPh>
    <rPh sb="12" eb="13">
      <t>ヒ</t>
    </rPh>
    <rPh sb="17" eb="18">
      <t>ア</t>
    </rPh>
    <phoneticPr fontId="14"/>
  </si>
  <si>
    <t>②償却資産　大植物　年償却費（10a当り）</t>
    <rPh sb="1" eb="3">
      <t>ショウキャク</t>
    </rPh>
    <rPh sb="3" eb="5">
      <t>シサン</t>
    </rPh>
    <rPh sb="6" eb="7">
      <t>ダイ</t>
    </rPh>
    <rPh sb="7" eb="9">
      <t>ショクブツ</t>
    </rPh>
    <rPh sb="10" eb="11">
      <t>ネン</t>
    </rPh>
    <rPh sb="11" eb="13">
      <t>ショウキャク</t>
    </rPh>
    <rPh sb="13" eb="14">
      <t>ヒ</t>
    </rPh>
    <rPh sb="18" eb="19">
      <t>ア</t>
    </rPh>
    <phoneticPr fontId="14"/>
  </si>
  <si>
    <t>販売量(kg)</t>
    <phoneticPr fontId="14"/>
  </si>
  <si>
    <t>単価(円)</t>
    <rPh sb="3" eb="4">
      <t>エン</t>
    </rPh>
    <phoneticPr fontId="14"/>
  </si>
  <si>
    <t>合計
(円/10a)</t>
    <rPh sb="0" eb="2">
      <t>ゴウケイ</t>
    </rPh>
    <phoneticPr fontId="14"/>
  </si>
  <si>
    <t>式</t>
    <rPh sb="0" eb="1">
      <t>シキ</t>
    </rPh>
    <phoneticPr fontId="14"/>
  </si>
  <si>
    <t>基幹労働</t>
    <rPh sb="0" eb="2">
      <t>キカン</t>
    </rPh>
    <rPh sb="2" eb="4">
      <t>ロウドウ</t>
    </rPh>
    <phoneticPr fontId="14"/>
  </si>
  <si>
    <t>補助労働</t>
    <rPh sb="0" eb="2">
      <t>ホジョ</t>
    </rPh>
    <rPh sb="2" eb="4">
      <t>ロウドウ</t>
    </rPh>
    <phoneticPr fontId="14"/>
  </si>
  <si>
    <t>機械利用
時間</t>
    <phoneticPr fontId="14"/>
  </si>
  <si>
    <t>労働費</t>
    <rPh sb="0" eb="3">
      <t>ロウドウヒ</t>
    </rPh>
    <phoneticPr fontId="14"/>
  </si>
  <si>
    <t>基幹労働</t>
    <rPh sb="0" eb="2">
      <t>キカン</t>
    </rPh>
    <rPh sb="2" eb="4">
      <t>ロウドウ</t>
    </rPh>
    <phoneticPr fontId="31"/>
  </si>
  <si>
    <t>自家労賃を含む</t>
    <rPh sb="0" eb="2">
      <t>ジカ</t>
    </rPh>
    <rPh sb="2" eb="4">
      <t>ロウチン</t>
    </rPh>
    <rPh sb="5" eb="6">
      <t>フク</t>
    </rPh>
    <phoneticPr fontId="14"/>
  </si>
  <si>
    <t>補助労働</t>
    <rPh sb="0" eb="2">
      <t>ホジョ</t>
    </rPh>
    <rPh sb="2" eb="4">
      <t>ロウドウ</t>
    </rPh>
    <phoneticPr fontId="31"/>
  </si>
  <si>
    <t>10a当たり</t>
    <rPh sb="3" eb="4">
      <t>ア</t>
    </rPh>
    <phoneticPr fontId="14"/>
  </si>
  <si>
    <t>播種量</t>
    <rPh sb="0" eb="2">
      <t>ハシュ</t>
    </rPh>
    <rPh sb="2" eb="3">
      <t>リョウ</t>
    </rPh>
    <phoneticPr fontId="14"/>
  </si>
  <si>
    <t>kg</t>
  </si>
  <si>
    <t>種類</t>
    <rPh sb="0" eb="2">
      <t>シュルイ</t>
    </rPh>
    <phoneticPr fontId="14"/>
  </si>
  <si>
    <t>単位</t>
    <rPh sb="0" eb="2">
      <t>タンイ</t>
    </rPh>
    <phoneticPr fontId="14"/>
  </si>
  <si>
    <t>植付本数</t>
    <rPh sb="0" eb="2">
      <t>ウエツケ</t>
    </rPh>
    <rPh sb="2" eb="4">
      <t>ホンスウ</t>
    </rPh>
    <phoneticPr fontId="14"/>
  </si>
  <si>
    <t>本</t>
    <rPh sb="0" eb="1">
      <t>ホン</t>
    </rPh>
    <phoneticPr fontId="14"/>
  </si>
  <si>
    <t>kg</t>
    <phoneticPr fontId="14"/>
  </si>
  <si>
    <t>飼養頭数</t>
    <rPh sb="0" eb="2">
      <t>シヨウ</t>
    </rPh>
    <rPh sb="2" eb="4">
      <t>トウスウ</t>
    </rPh>
    <phoneticPr fontId="14"/>
  </si>
  <si>
    <t>頭</t>
    <rPh sb="0" eb="1">
      <t>トウ</t>
    </rPh>
    <phoneticPr fontId="14"/>
  </si>
  <si>
    <t>補助労働(ア)</t>
    <rPh sb="0" eb="2">
      <t>ホジョ</t>
    </rPh>
    <rPh sb="2" eb="4">
      <t>ロウドウ</t>
    </rPh>
    <phoneticPr fontId="14"/>
  </si>
  <si>
    <t>備考</t>
    <rPh sb="0" eb="2">
      <t>ビコウ</t>
    </rPh>
    <phoneticPr fontId="14"/>
  </si>
  <si>
    <t>戦略作物助成15,000円</t>
    <rPh sb="0" eb="2">
      <t>センリャク</t>
    </rPh>
    <rPh sb="2" eb="4">
      <t>サクモツ</t>
    </rPh>
    <rPh sb="4" eb="6">
      <t>ジョセイ</t>
    </rPh>
    <rPh sb="12" eb="13">
      <t>エン</t>
    </rPh>
    <phoneticPr fontId="14"/>
  </si>
  <si>
    <t>施肥播種機</t>
    <rPh sb="0" eb="2">
      <t>セヒ</t>
    </rPh>
    <rPh sb="2" eb="4">
      <t>ハシュ</t>
    </rPh>
    <rPh sb="4" eb="5">
      <t>キ</t>
    </rPh>
    <phoneticPr fontId="14"/>
  </si>
  <si>
    <t>混合油</t>
    <rPh sb="0" eb="2">
      <t>コンゴウ</t>
    </rPh>
    <rPh sb="2" eb="3">
      <t>ユ</t>
    </rPh>
    <phoneticPr fontId="14"/>
  </si>
  <si>
    <t>オイル(自動計算)</t>
    <rPh sb="4" eb="6">
      <t>ジドウ</t>
    </rPh>
    <rPh sb="6" eb="8">
      <t>ケイサン</t>
    </rPh>
    <phoneticPr fontId="14"/>
  </si>
  <si>
    <t>その他燃料</t>
    <phoneticPr fontId="14"/>
  </si>
  <si>
    <t>H27年平均価格　石油情報センターより</t>
    <rPh sb="3" eb="4">
      <t>ネン</t>
    </rPh>
    <rPh sb="4" eb="6">
      <t>ヘイキン</t>
    </rPh>
    <rPh sb="6" eb="8">
      <t>カカク</t>
    </rPh>
    <rPh sb="9" eb="11">
      <t>セキユ</t>
    </rPh>
    <rPh sb="11" eb="13">
      <t>ジョウホウ</t>
    </rPh>
    <phoneticPr fontId="14"/>
  </si>
  <si>
    <t>小 計(4)</t>
    <phoneticPr fontId="14"/>
  </si>
  <si>
    <t>小 計(1)</t>
    <phoneticPr fontId="14"/>
  </si>
  <si>
    <t>田</t>
  </si>
  <si>
    <t>該当しない</t>
  </si>
  <si>
    <t>山口県最低賃金（H28.10.1）</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</si>
</sst>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76" formatCode="0.0&quot;ha&quot;"/>
    <numFmt numFmtId="177" formatCode="0.0&quot; a&quot;"/>
    <numFmt numFmtId="178" formatCode="0.0"/>
    <numFmt numFmtId="179" formatCode="#,##0.0;[Red]\-#,##0.0"/>
    <numFmt numFmtId="180" formatCode="0.0&quot;a当り&quot;"/>
    <numFmt numFmtId="181" formatCode="#,##0.0"/>
    <numFmt numFmtId="182" formatCode="#,##0\ ;\(#,##0\)"/>
    <numFmt numFmtId="183" formatCode="0&quot;月&quot;"/>
    <numFmt numFmtId="184" formatCode="\["/>
    <numFmt numFmtId="185" formatCode="#,##0_ ;[Red]\-#,##0\ "/>
    <numFmt numFmtId="186" formatCode="&quot;購入補充&quot;#,##0&quot;円&quot;"/>
    <numFmt numFmtId="187" formatCode="&quot;修繕費(負担取得価格の1%)&quot;#,##0&quot;円&quot;"/>
    <numFmt numFmtId="188" formatCode="&quot;所得率&quot;0.0%"/>
    <numFmt numFmtId="189" formatCode="0.0%"/>
    <numFmt numFmtId="190" formatCode="#,##0&quot;円&quot;"/>
    <numFmt numFmtId="191" formatCode="#,##0_ "/>
    <numFmt numFmtId="192" formatCode="0\ &quot;月&quot;"/>
    <numFmt numFmtId="193" formatCode="&quot; &quot;@&quot;旬&quot;"/>
    <numFmt numFmtId="194" formatCode="0.00\ &quot;ha&quot;"/>
    <numFmt numFmtId="195" formatCode="_ * #,##0.0_ ;_ * \-#,##0.0_ ;_ * &quot;&quot;??_ ;_ @_ "/>
    <numFmt numFmtId="196" formatCode="0.0_);[Red]\(0.0\)"/>
    <numFmt numFmtId="197" formatCode="#,##0;&quot;▲ &quot;#,##0"/>
    <numFmt numFmtId="198" formatCode="#,###"/>
    <numFmt numFmtId="199" formatCode="_ * #,##0.00_ ;_ * \-#,##0.00_ ;_ * &quot;&quot;??_ ;_ @_ "/>
    <numFmt numFmtId="200" formatCode="#,##0.0_);[Red]\(#,##0.0\)"/>
    <numFmt numFmtId="201" formatCode="#,###&quot;円&quot;"/>
    <numFmt numFmtId="202" formatCode="#"/>
    <numFmt numFmtId="203" formatCode="#,###.0"/>
    <numFmt numFmtId="204" formatCode="_ * #,##0.0_ ;[Red]_ * \-#,##0.0_ ;_ * &quot;&quot;??_ ;_ @_ "/>
  </numFmts>
  <fonts count="40">
    <font>
      <sz val="11"/>
      <name val="ＭＳ Ｐゴシック"/>
      <family val="3"/>
      <charset val="128"/>
    </font>
    <font>
      <sz val="11"/>
      <color theme="1"/>
      <name val="ＭＳ Ｐゴシック"/>
      <family val="2"/>
      <charset val="128"/>
      <scheme val="minor"/>
    </font>
    <font>
      <sz val="9.5"/>
      <name val="明朝"/>
      <family val="1"/>
      <charset val="128"/>
    </font>
    <font>
      <sz val="11"/>
      <color indexed="8"/>
      <name val="ＭＳ Ｐゴシック"/>
      <family val="3"/>
      <charset val="128"/>
    </font>
    <font>
      <sz val="10"/>
      <name val="ＭＳ 明朝"/>
      <family val="1"/>
      <charset val="128"/>
    </font>
    <font>
      <sz val="10"/>
      <name val="ＭＳ ゴシック"/>
      <family val="3"/>
      <charset val="128"/>
    </font>
    <font>
      <b/>
      <sz val="9"/>
      <color indexed="8"/>
      <name val="ＭＳ Ｐゴシック"/>
      <family val="3"/>
      <charset val="128"/>
    </font>
    <font>
      <sz val="9"/>
      <color indexed="8"/>
      <name val="ＭＳ Ｐゴシック"/>
      <family val="3"/>
      <charset val="128"/>
    </font>
    <font>
      <sz val="8"/>
      <name val="ＭＳ 明朝"/>
      <family val="1"/>
      <charset val="128"/>
    </font>
    <font>
      <sz val="9"/>
      <name val="ＭＳ Ｐゴシック"/>
      <family val="3"/>
      <charset val="128"/>
    </font>
    <font>
      <b/>
      <sz val="11"/>
      <name val="ＭＳ Ｐゴシック"/>
      <family val="3"/>
      <charset val="128"/>
    </font>
    <font>
      <sz val="9"/>
      <name val="ＭＳ 明朝"/>
      <family val="1"/>
      <charset val="128"/>
    </font>
    <font>
      <b/>
      <sz val="10"/>
      <name val="ＭＳ Ｐゴシック"/>
      <family val="3"/>
      <charset val="128"/>
    </font>
    <font>
      <b/>
      <sz val="10"/>
      <color indexed="12"/>
      <name val="ＭＳ Ｐゴシック"/>
      <family val="3"/>
      <charset val="128"/>
    </font>
    <font>
      <sz val="6"/>
      <name val="ＭＳ Ｐゴシック"/>
      <family val="3"/>
      <charset val="128"/>
    </font>
    <font>
      <sz val="9.5"/>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b/>
      <sz val="11"/>
      <color indexed="81"/>
      <name val="ＭＳ Ｐゴシック"/>
      <family val="3"/>
      <charset val="128"/>
    </font>
    <font>
      <b/>
      <sz val="11"/>
      <color indexed="8"/>
      <name val="ＭＳ Ｐゴシック"/>
      <family val="3"/>
      <charset val="128"/>
    </font>
    <font>
      <sz val="11"/>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color rgb="FFFF0000"/>
      <name val="ＭＳ Ｐゴシック"/>
      <family val="3"/>
      <charset val="128"/>
    </font>
    <font>
      <b/>
      <sz val="10"/>
      <color indexed="10"/>
      <name val="ＭＳ Ｐゴシック"/>
      <family val="3"/>
      <charset val="128"/>
    </font>
    <font>
      <b/>
      <sz val="9"/>
      <name val="ＭＳ Ｐゴシック"/>
      <family val="3"/>
      <charset val="128"/>
    </font>
    <font>
      <b/>
      <i/>
      <sz val="9"/>
      <name val="ＭＳ Ｐゴシック"/>
      <family val="3"/>
      <charset val="128"/>
    </font>
    <font>
      <b/>
      <i/>
      <sz val="10"/>
      <name val="ＭＳ Ｐゴシック"/>
      <family val="3"/>
      <charset val="128"/>
    </font>
    <font>
      <sz val="10"/>
      <color rgb="FFFF0000"/>
      <name val="ＭＳ Ｐゴシック"/>
      <family val="3"/>
      <charset val="128"/>
    </font>
    <font>
      <sz val="11"/>
      <color theme="1"/>
      <name val="ＭＳ Ｐゴシック"/>
      <family val="3"/>
      <charset val="128"/>
      <scheme val="minor"/>
    </font>
    <font>
      <sz val="8"/>
      <color rgb="FFFF0000"/>
      <name val="ＭＳ Ｐゴシック"/>
      <family val="3"/>
      <charset val="128"/>
    </font>
    <font>
      <sz val="14"/>
      <name val="ＭＳ Ｐゴシック"/>
      <family val="3"/>
      <charset val="128"/>
    </font>
    <font>
      <sz val="11"/>
      <color indexed="9"/>
      <name val="ＭＳ Ｐゴシック"/>
      <family val="3"/>
      <charset val="128"/>
    </font>
    <font>
      <sz val="11"/>
      <color indexed="81"/>
      <name val="ＭＳ Ｐゴシック"/>
      <family val="3"/>
      <charset val="128"/>
    </font>
    <font>
      <b/>
      <sz val="11"/>
      <color indexed="10"/>
      <name val="ＭＳ Ｐゴシック"/>
      <family val="3"/>
      <charset val="128"/>
    </font>
    <font>
      <sz val="14"/>
      <name val="ＭＳ 明朝"/>
      <family val="1"/>
      <charset val="128"/>
    </font>
    <font>
      <sz val="11"/>
      <color theme="0"/>
      <name val="ＭＳ Ｐゴシック"/>
      <family val="3"/>
      <charset val="128"/>
    </font>
    <font>
      <sz val="10"/>
      <name val="ＭＳ Ｐゴシック"/>
      <family val="3"/>
      <charset val="128"/>
      <scheme val="minor"/>
    </font>
  </fonts>
  <fills count="26">
    <fill>
      <patternFill patternType="none"/>
    </fill>
    <fill>
      <patternFill patternType="gray125"/>
    </fill>
    <fill>
      <patternFill patternType="solid">
        <fgColor indexed="43"/>
        <bgColor indexed="26"/>
      </patternFill>
    </fill>
    <fill>
      <patternFill patternType="solid">
        <fgColor indexed="42"/>
        <bgColor indexed="27"/>
      </patternFill>
    </fill>
    <fill>
      <patternFill patternType="solid">
        <fgColor indexed="26"/>
        <bgColor indexed="43"/>
      </patternFill>
    </fill>
    <fill>
      <patternFill patternType="solid">
        <fgColor indexed="22"/>
        <bgColor indexed="31"/>
      </patternFill>
    </fill>
    <fill>
      <patternFill patternType="solid">
        <fgColor theme="8" tint="0.59999389629810485"/>
        <bgColor indexed="64"/>
      </patternFill>
    </fill>
    <fill>
      <patternFill patternType="solid">
        <fgColor rgb="FFCCFFCC"/>
        <bgColor indexed="64"/>
      </patternFill>
    </fill>
    <fill>
      <patternFill patternType="solid">
        <fgColor theme="8" tint="0.59999389629810485"/>
        <bgColor indexed="49"/>
      </patternFill>
    </fill>
    <fill>
      <patternFill patternType="solid">
        <fgColor theme="8" tint="0.59999389629810485"/>
        <bgColor indexed="42"/>
      </patternFill>
    </fill>
    <fill>
      <patternFill patternType="solid">
        <fgColor rgb="FFCCFFCC"/>
        <bgColor indexed="42"/>
      </patternFill>
    </fill>
    <fill>
      <patternFill patternType="solid">
        <fgColor rgb="FFCCFFCC"/>
        <bgColor indexed="49"/>
      </patternFill>
    </fill>
    <fill>
      <patternFill patternType="solid">
        <fgColor rgb="FFFFFF99"/>
        <bgColor indexed="64"/>
      </patternFill>
    </fill>
    <fill>
      <patternFill patternType="solid">
        <fgColor rgb="FFFFFF99"/>
        <bgColor indexed="26"/>
      </patternFill>
    </fill>
    <fill>
      <patternFill patternType="solid">
        <fgColor rgb="FFCCFFCC"/>
        <bgColor indexed="27"/>
      </patternFill>
    </fill>
    <fill>
      <patternFill patternType="solid">
        <fgColor theme="5" tint="0.59999389629810485"/>
        <bgColor indexed="27"/>
      </patternFill>
    </fill>
    <fill>
      <patternFill patternType="solid">
        <fgColor theme="5" tint="0.59999389629810485"/>
        <bgColor indexed="26"/>
      </patternFill>
    </fill>
    <fill>
      <patternFill patternType="solid">
        <fgColor theme="5" tint="0.59999389629810485"/>
        <bgColor indexed="49"/>
      </patternFill>
    </fill>
    <fill>
      <patternFill patternType="solid">
        <fgColor theme="5" tint="0.59999389629810485"/>
        <bgColor indexed="64"/>
      </patternFill>
    </fill>
    <fill>
      <patternFill patternType="mediumGray">
        <fgColor indexed="42"/>
      </patternFill>
    </fill>
    <fill>
      <patternFill patternType="mediumGray">
        <fgColor indexed="47"/>
      </patternFill>
    </fill>
    <fill>
      <patternFill patternType="darkGray">
        <fgColor indexed="42"/>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8" tint="0.59999389629810485"/>
        <bgColor indexed="27"/>
      </patternFill>
    </fill>
  </fills>
  <borders count="245">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thin">
        <color indexed="8"/>
      </top>
      <bottom/>
      <diagonal/>
    </border>
    <border>
      <left style="thin">
        <color indexed="8"/>
      </left>
      <right/>
      <top style="hair">
        <color indexed="8"/>
      </top>
      <bottom style="hair">
        <color indexed="8"/>
      </bottom>
      <diagonal/>
    </border>
    <border>
      <left style="thin">
        <color indexed="8"/>
      </left>
      <right style="thin">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top/>
      <bottom style="hair">
        <color indexed="8"/>
      </bottom>
      <diagonal/>
    </border>
    <border>
      <left/>
      <right/>
      <top/>
      <bottom style="hair">
        <color indexed="8"/>
      </bottom>
      <diagonal/>
    </border>
    <border>
      <left style="thin">
        <color indexed="8"/>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diagonal/>
    </border>
    <border>
      <left/>
      <right/>
      <top style="thin">
        <color indexed="8"/>
      </top>
      <bottom style="thin">
        <color indexed="8"/>
      </bottom>
      <diagonal/>
    </border>
    <border>
      <left style="thin">
        <color indexed="8"/>
      </left>
      <right/>
      <top style="thin">
        <color indexed="8"/>
      </top>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medium">
        <color indexed="8"/>
      </right>
      <top style="hair">
        <color indexed="8"/>
      </top>
      <bottom style="hair">
        <color indexed="8"/>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top/>
      <bottom style="hair">
        <color indexed="8"/>
      </bottom>
      <diagonal/>
    </border>
    <border>
      <left style="hair">
        <color indexed="8"/>
      </left>
      <right style="medium">
        <color indexed="8"/>
      </right>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medium">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hair">
        <color indexed="8"/>
      </right>
      <top/>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top style="hair">
        <color indexed="8"/>
      </top>
      <bottom/>
      <diagonal/>
    </border>
    <border>
      <left/>
      <right/>
      <top style="hair">
        <color indexed="8"/>
      </top>
      <bottom/>
      <diagonal/>
    </border>
    <border>
      <left/>
      <right style="thin">
        <color indexed="8"/>
      </right>
      <top style="hair">
        <color indexed="8"/>
      </top>
      <bottom/>
      <diagonal/>
    </border>
    <border>
      <left/>
      <right/>
      <top style="hair">
        <color indexed="8"/>
      </top>
      <bottom style="hair">
        <color indexed="8"/>
      </bottom>
      <diagonal/>
    </border>
    <border>
      <left/>
      <right/>
      <top style="hair">
        <color indexed="8"/>
      </top>
      <bottom style="thin">
        <color indexed="8"/>
      </bottom>
      <diagonal/>
    </border>
    <border>
      <left/>
      <right/>
      <top style="thin">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hair">
        <color indexed="8"/>
      </top>
      <bottom/>
      <diagonal/>
    </border>
    <border>
      <left style="thin">
        <color indexed="22"/>
      </left>
      <right style="thin">
        <color indexed="22"/>
      </right>
      <top/>
      <bottom/>
      <diagonal/>
    </border>
    <border>
      <left style="thin">
        <color indexed="8"/>
      </left>
      <right style="medium">
        <color indexed="8"/>
      </right>
      <top/>
      <bottom style="medium">
        <color indexed="8"/>
      </bottom>
      <diagonal/>
    </border>
    <border>
      <left style="medium">
        <color indexed="8"/>
      </left>
      <right style="medium">
        <color indexed="8"/>
      </right>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bottom style="medium">
        <color indexed="8"/>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hair">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bottom style="medium">
        <color indexed="8"/>
      </bottom>
      <diagonal/>
    </border>
    <border>
      <left style="hair">
        <color indexed="8"/>
      </left>
      <right style="thin">
        <color indexed="8"/>
      </right>
      <top style="hair">
        <color indexed="8"/>
      </top>
      <bottom style="hair">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medium">
        <color indexed="64"/>
      </left>
      <right style="hair">
        <color indexed="8"/>
      </right>
      <top style="medium">
        <color indexed="64"/>
      </top>
      <bottom/>
      <diagonal/>
    </border>
    <border>
      <left style="hair">
        <color indexed="8"/>
      </left>
      <right style="hair">
        <color indexed="8"/>
      </right>
      <top style="medium">
        <color indexed="64"/>
      </top>
      <bottom style="hair">
        <color indexed="8"/>
      </bottom>
      <diagonal/>
    </border>
    <border>
      <left style="hair">
        <color indexed="8"/>
      </left>
      <right/>
      <top style="medium">
        <color indexed="64"/>
      </top>
      <bottom style="hair">
        <color indexed="8"/>
      </bottom>
      <diagonal/>
    </border>
    <border>
      <left style="medium">
        <color indexed="8"/>
      </left>
      <right style="hair">
        <color indexed="8"/>
      </right>
      <top style="medium">
        <color indexed="64"/>
      </top>
      <bottom style="hair">
        <color indexed="8"/>
      </bottom>
      <diagonal/>
    </border>
    <border>
      <left style="hair">
        <color indexed="8"/>
      </left>
      <right style="medium">
        <color indexed="8"/>
      </right>
      <top style="medium">
        <color indexed="64"/>
      </top>
      <bottom style="hair">
        <color indexed="8"/>
      </bottom>
      <diagonal/>
    </border>
    <border>
      <left/>
      <right style="hair">
        <color indexed="8"/>
      </right>
      <top style="medium">
        <color indexed="64"/>
      </top>
      <bottom style="hair">
        <color indexed="8"/>
      </bottom>
      <diagonal/>
    </border>
    <border>
      <left style="medium">
        <color indexed="8"/>
      </left>
      <right style="medium">
        <color indexed="64"/>
      </right>
      <top style="medium">
        <color indexed="64"/>
      </top>
      <bottom style="hair">
        <color indexed="8"/>
      </bottom>
      <diagonal/>
    </border>
    <border>
      <left style="medium">
        <color indexed="64"/>
      </left>
      <right style="hair">
        <color indexed="8"/>
      </right>
      <top/>
      <bottom/>
      <diagonal/>
    </border>
    <border>
      <left style="medium">
        <color indexed="8"/>
      </left>
      <right style="medium">
        <color indexed="64"/>
      </right>
      <top/>
      <bottom style="hair">
        <color indexed="8"/>
      </bottom>
      <diagonal/>
    </border>
    <border>
      <left style="medium">
        <color indexed="64"/>
      </left>
      <right style="hair">
        <color indexed="8"/>
      </right>
      <top/>
      <bottom style="medium">
        <color indexed="64"/>
      </bottom>
      <diagonal/>
    </border>
    <border>
      <left style="hair">
        <color indexed="8"/>
      </left>
      <right style="hair">
        <color indexed="8"/>
      </right>
      <top/>
      <bottom style="medium">
        <color indexed="64"/>
      </bottom>
      <diagonal/>
    </border>
    <border>
      <left style="hair">
        <color indexed="8"/>
      </left>
      <right/>
      <top/>
      <bottom style="medium">
        <color indexed="64"/>
      </bottom>
      <diagonal/>
    </border>
    <border>
      <left style="medium">
        <color indexed="8"/>
      </left>
      <right style="hair">
        <color indexed="8"/>
      </right>
      <top/>
      <bottom style="medium">
        <color indexed="64"/>
      </bottom>
      <diagonal/>
    </border>
    <border>
      <left style="hair">
        <color indexed="8"/>
      </left>
      <right style="medium">
        <color indexed="8"/>
      </right>
      <top/>
      <bottom style="medium">
        <color indexed="64"/>
      </bottom>
      <diagonal/>
    </border>
    <border>
      <left/>
      <right style="hair">
        <color indexed="8"/>
      </right>
      <top/>
      <bottom style="medium">
        <color indexed="64"/>
      </bottom>
      <diagonal/>
    </border>
    <border>
      <left style="medium">
        <color indexed="8"/>
      </left>
      <right style="medium">
        <color indexed="64"/>
      </right>
      <top/>
      <bottom style="medium">
        <color indexed="64"/>
      </bottom>
      <diagonal/>
    </border>
    <border>
      <left style="hair">
        <color indexed="8"/>
      </left>
      <right style="hair">
        <color indexed="8"/>
      </right>
      <top style="hair">
        <color indexed="8"/>
      </top>
      <bottom style="double">
        <color indexed="64"/>
      </bottom>
      <diagonal/>
    </border>
    <border>
      <left style="hair">
        <color indexed="8"/>
      </left>
      <right/>
      <top style="hair">
        <color indexed="8"/>
      </top>
      <bottom style="double">
        <color indexed="64"/>
      </bottom>
      <diagonal/>
    </border>
    <border>
      <left style="medium">
        <color indexed="8"/>
      </left>
      <right style="hair">
        <color indexed="8"/>
      </right>
      <top style="hair">
        <color indexed="8"/>
      </top>
      <bottom style="double">
        <color indexed="64"/>
      </bottom>
      <diagonal/>
    </border>
    <border>
      <left style="hair">
        <color indexed="8"/>
      </left>
      <right style="medium">
        <color indexed="8"/>
      </right>
      <top style="hair">
        <color indexed="8"/>
      </top>
      <bottom style="double">
        <color indexed="64"/>
      </bottom>
      <diagonal/>
    </border>
    <border>
      <left/>
      <right style="hair">
        <color indexed="8"/>
      </right>
      <top style="hair">
        <color indexed="8"/>
      </top>
      <bottom style="double">
        <color indexed="64"/>
      </bottom>
      <diagonal/>
    </border>
    <border>
      <left style="medium">
        <color indexed="8"/>
      </left>
      <right style="medium">
        <color indexed="64"/>
      </right>
      <top style="hair">
        <color indexed="8"/>
      </top>
      <bottom style="double">
        <color indexed="64"/>
      </bottom>
      <diagonal/>
    </border>
    <border>
      <left style="thin">
        <color indexed="64"/>
      </left>
      <right style="hair">
        <color indexed="8"/>
      </right>
      <top style="medium">
        <color indexed="64"/>
      </top>
      <bottom style="hair">
        <color indexed="8"/>
      </bottom>
      <diagonal/>
    </border>
    <border>
      <left style="thin">
        <color indexed="64"/>
      </left>
      <right style="hair">
        <color indexed="8"/>
      </right>
      <top/>
      <bottom/>
      <diagonal/>
    </border>
    <border>
      <left style="thin">
        <color indexed="64"/>
      </left>
      <right style="hair">
        <color indexed="8"/>
      </right>
      <top style="hair">
        <color indexed="8"/>
      </top>
      <bottom style="hair">
        <color indexed="8"/>
      </bottom>
      <diagonal/>
    </border>
    <border>
      <left style="thin">
        <color indexed="64"/>
      </left>
      <right style="hair">
        <color indexed="8"/>
      </right>
      <top/>
      <bottom style="hair">
        <color indexed="8"/>
      </bottom>
      <diagonal/>
    </border>
    <border>
      <left style="thin">
        <color indexed="64"/>
      </left>
      <right style="hair">
        <color indexed="8"/>
      </right>
      <top style="hair">
        <color indexed="8"/>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8"/>
      </left>
      <right style="medium">
        <color indexed="64"/>
      </right>
      <top style="hair">
        <color indexed="8"/>
      </top>
      <bottom style="hair">
        <color indexed="8"/>
      </bottom>
      <diagonal/>
    </border>
    <border>
      <left style="thin">
        <color indexed="64"/>
      </left>
      <right style="hair">
        <color indexed="8"/>
      </right>
      <top/>
      <bottom style="medium">
        <color indexed="64"/>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indexed="64"/>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style="hair">
        <color indexed="8"/>
      </top>
      <bottom style="hair">
        <color indexed="8"/>
      </bottom>
      <diagonal/>
    </border>
    <border>
      <left style="thin">
        <color indexed="64"/>
      </left>
      <right/>
      <top style="hair">
        <color indexed="8"/>
      </top>
      <bottom style="hair">
        <color indexed="8"/>
      </bottom>
      <diagonal/>
    </border>
    <border>
      <left style="thin">
        <color indexed="8"/>
      </left>
      <right style="thin">
        <color indexed="64"/>
      </right>
      <top style="hair">
        <color indexed="8"/>
      </top>
      <bottom/>
      <diagonal/>
    </border>
    <border>
      <left style="thin">
        <color indexed="8"/>
      </left>
      <right style="thin">
        <color indexed="64"/>
      </right>
      <top style="hair">
        <color indexed="8"/>
      </top>
      <bottom style="thin">
        <color indexed="8"/>
      </bottom>
      <diagonal/>
    </border>
    <border>
      <left style="thin">
        <color indexed="8"/>
      </left>
      <right style="thin">
        <color indexed="64"/>
      </right>
      <top/>
      <bottom style="hair">
        <color indexed="8"/>
      </bottom>
      <diagonal/>
    </border>
    <border>
      <left style="thin">
        <color indexed="8"/>
      </left>
      <right style="thin">
        <color indexed="64"/>
      </right>
      <top/>
      <bottom/>
      <diagonal/>
    </border>
    <border>
      <left style="thin">
        <color indexed="8"/>
      </left>
      <right/>
      <top style="hair">
        <color indexed="8"/>
      </top>
      <bottom style="thin">
        <color indexed="64"/>
      </bottom>
      <diagonal/>
    </border>
    <border>
      <left style="thin">
        <color indexed="8"/>
      </left>
      <right style="thin">
        <color indexed="64"/>
      </right>
      <top style="hair">
        <color indexed="8"/>
      </top>
      <bottom style="thin">
        <color indexed="64"/>
      </bottom>
      <diagonal/>
    </border>
    <border>
      <left style="thin">
        <color indexed="8"/>
      </left>
      <right/>
      <top style="thin">
        <color indexed="8"/>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right style="hair">
        <color indexed="8"/>
      </right>
      <top style="thin">
        <color indexed="8"/>
      </top>
      <bottom/>
      <diagonal/>
    </border>
    <border>
      <left style="thin">
        <color indexed="8"/>
      </left>
      <right style="thin">
        <color indexed="8"/>
      </right>
      <top/>
      <bottom/>
      <diagonal/>
    </border>
    <border>
      <left/>
      <right/>
      <top style="thin">
        <color indexed="64"/>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indexed="8"/>
      </right>
      <top style="hair">
        <color indexed="8"/>
      </top>
      <bottom style="thin">
        <color indexed="64"/>
      </bottom>
      <diagonal/>
    </border>
    <border>
      <left style="thin">
        <color indexed="8"/>
      </left>
      <right/>
      <top style="thin">
        <color indexed="64"/>
      </top>
      <bottom style="hair">
        <color indexed="8"/>
      </bottom>
      <diagonal/>
    </border>
    <border>
      <left/>
      <right style="thin">
        <color indexed="8"/>
      </right>
      <top style="thin">
        <color indexed="64"/>
      </top>
      <bottom style="hair">
        <color indexed="8"/>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indexed="64"/>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top style="medium">
        <color indexed="64"/>
      </top>
      <bottom style="thin">
        <color auto="1"/>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auto="1"/>
      </right>
      <top style="medium">
        <color auto="1"/>
      </top>
      <bottom style="double">
        <color indexed="64"/>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auto="1"/>
      </left>
      <right style="medium">
        <color indexed="64"/>
      </right>
      <top/>
      <bottom style="medium">
        <color auto="1"/>
      </bottom>
      <diagonal/>
    </border>
    <border>
      <left style="medium">
        <color indexed="64"/>
      </left>
      <right style="medium">
        <color indexed="64"/>
      </right>
      <top/>
      <bottom style="medium">
        <color indexed="64"/>
      </bottom>
      <diagonal/>
    </border>
    <border>
      <left style="medium">
        <color indexed="64"/>
      </left>
      <right style="thin">
        <color indexed="64"/>
      </right>
      <top style="medium">
        <color auto="1"/>
      </top>
      <bottom style="double">
        <color indexed="64"/>
      </bottom>
      <diagonal/>
    </border>
    <border>
      <left style="thin">
        <color auto="1"/>
      </left>
      <right style="thin">
        <color auto="1"/>
      </right>
      <top style="medium">
        <color auto="1"/>
      </top>
      <bottom style="double">
        <color indexed="64"/>
      </bottom>
      <diagonal/>
    </border>
    <border>
      <left/>
      <right/>
      <top style="medium">
        <color indexed="64"/>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hair">
        <color indexed="8"/>
      </right>
      <top/>
      <bottom style="medium">
        <color indexed="64"/>
      </bottom>
      <diagonal/>
    </border>
    <border>
      <left/>
      <right style="hair">
        <color indexed="8"/>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style="thin">
        <color indexed="64"/>
      </left>
      <right style="hair">
        <color indexed="8"/>
      </right>
      <top style="medium">
        <color indexed="64"/>
      </top>
      <bottom/>
      <diagonal/>
    </border>
    <border>
      <left style="hair">
        <color indexed="8"/>
      </left>
      <right style="hair">
        <color indexed="8"/>
      </right>
      <top style="medium">
        <color indexed="64"/>
      </top>
      <bottom/>
      <diagonal/>
    </border>
    <border>
      <left style="hair">
        <color indexed="8"/>
      </left>
      <right/>
      <top style="medium">
        <color indexed="64"/>
      </top>
      <bottom/>
      <diagonal/>
    </border>
    <border>
      <left style="medium">
        <color indexed="8"/>
      </left>
      <right style="hair">
        <color indexed="8"/>
      </right>
      <top style="medium">
        <color indexed="64"/>
      </top>
      <bottom/>
      <diagonal/>
    </border>
    <border>
      <left style="hair">
        <color indexed="8"/>
      </left>
      <right style="medium">
        <color indexed="8"/>
      </right>
      <top style="medium">
        <color indexed="64"/>
      </top>
      <bottom/>
      <diagonal/>
    </border>
    <border>
      <left/>
      <right/>
      <top style="medium">
        <color indexed="64"/>
      </top>
      <bottom/>
      <diagonal/>
    </border>
    <border>
      <left style="medium">
        <color indexed="8"/>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8"/>
      </left>
      <right style="thin">
        <color indexed="8"/>
      </right>
      <top style="thin">
        <color indexed="8"/>
      </top>
      <bottom/>
      <diagonal/>
    </border>
    <border>
      <left style="medium">
        <color indexed="8"/>
      </left>
      <right style="hair">
        <color indexed="8"/>
      </right>
      <top/>
      <bottom style="medium">
        <color indexed="64"/>
      </bottom>
      <diagonal/>
    </border>
    <border>
      <left style="medium">
        <color indexed="8"/>
      </left>
      <right style="medium">
        <color indexed="64"/>
      </right>
      <top/>
      <bottom style="medium">
        <color indexed="64"/>
      </bottom>
      <diagonal/>
    </border>
    <border>
      <left style="thin">
        <color auto="1"/>
      </left>
      <right style="thin">
        <color auto="1"/>
      </right>
      <top/>
      <bottom/>
      <diagonal/>
    </border>
    <border>
      <left/>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top style="thin">
        <color auto="1"/>
      </top>
      <bottom/>
      <diagonal/>
    </border>
    <border>
      <left style="dotted">
        <color auto="1"/>
      </left>
      <right style="dotted">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medium">
        <color auto="1"/>
      </left>
      <right/>
      <top style="medium">
        <color auto="1"/>
      </top>
      <bottom style="double">
        <color auto="1"/>
      </bottom>
      <diagonal/>
    </border>
    <border>
      <left/>
      <right style="medium">
        <color auto="1"/>
      </right>
      <top style="medium">
        <color auto="1"/>
      </top>
      <bottom style="double">
        <color auto="1"/>
      </bottom>
      <diagonal/>
    </border>
    <border>
      <left/>
      <right/>
      <top style="medium">
        <color auto="1"/>
      </top>
      <bottom style="double">
        <color auto="1"/>
      </bottom>
      <diagonal/>
    </border>
    <border>
      <left style="dotted">
        <color auto="1"/>
      </left>
      <right style="dotted">
        <color auto="1"/>
      </right>
      <top style="medium">
        <color auto="1"/>
      </top>
      <bottom style="double">
        <color auto="1"/>
      </bottom>
      <diagonal/>
    </border>
    <border>
      <left style="thin">
        <color auto="1"/>
      </left>
      <right/>
      <top style="medium">
        <color auto="1"/>
      </top>
      <bottom style="double">
        <color auto="1"/>
      </bottom>
      <diagonal/>
    </border>
    <border>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right style="medium">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medium">
        <color auto="1"/>
      </bottom>
      <diagonal/>
    </border>
    <border>
      <left/>
      <right style="dotted">
        <color auto="1"/>
      </right>
      <top style="medium">
        <color indexed="64"/>
      </top>
      <bottom style="medium">
        <color indexed="64"/>
      </bottom>
      <diagonal/>
    </border>
    <border>
      <left style="dotted">
        <color auto="1"/>
      </left>
      <right style="dotted">
        <color auto="1"/>
      </right>
      <top style="medium">
        <color auto="1"/>
      </top>
      <bottom style="medium">
        <color auto="1"/>
      </bottom>
      <diagonal/>
    </border>
    <border>
      <left style="dotted">
        <color auto="1"/>
      </left>
      <right style="thin">
        <color auto="1"/>
      </right>
      <top style="medium">
        <color indexed="64"/>
      </top>
      <bottom style="medium">
        <color indexed="64"/>
      </bottom>
      <diagonal/>
    </border>
    <border>
      <left style="dotted">
        <color auto="1"/>
      </left>
      <right/>
      <top style="medium">
        <color indexed="64"/>
      </top>
      <bottom style="medium">
        <color indexed="64"/>
      </bottom>
      <diagonal/>
    </border>
    <border>
      <left style="thin">
        <color auto="1"/>
      </left>
      <right style="dotted">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medium">
        <color indexed="8"/>
      </left>
      <right style="hair">
        <color indexed="8"/>
      </right>
      <top style="hair">
        <color indexed="8"/>
      </top>
      <bottom/>
      <diagonal/>
    </border>
    <border>
      <left style="hair">
        <color indexed="8"/>
      </left>
      <right style="medium">
        <color indexed="8"/>
      </right>
      <top style="hair">
        <color indexed="8"/>
      </top>
      <bottom/>
      <diagonal/>
    </border>
    <border>
      <left/>
      <right style="hair">
        <color indexed="8"/>
      </right>
      <top style="hair">
        <color indexed="8"/>
      </top>
      <bottom/>
      <diagonal/>
    </border>
    <border>
      <left style="medium">
        <color indexed="8"/>
      </left>
      <right style="medium">
        <color indexed="64"/>
      </right>
      <top style="hair">
        <color indexed="8"/>
      </top>
      <bottom/>
      <diagonal/>
    </border>
  </borders>
  <cellStyleXfs count="30">
    <xf numFmtId="0" fontId="0" fillId="0" borderId="0"/>
    <xf numFmtId="9" fontId="16" fillId="0" borderId="0" applyFill="0" applyBorder="0" applyAlignment="0" applyProtection="0"/>
    <xf numFmtId="38" fontId="16" fillId="0" borderId="0" applyFill="0" applyBorder="0" applyAlignment="0" applyProtection="0"/>
    <xf numFmtId="0" fontId="2" fillId="0" borderId="0"/>
    <xf numFmtId="0" fontId="3" fillId="0" borderId="0"/>
    <xf numFmtId="0" fontId="3" fillId="0" borderId="0"/>
    <xf numFmtId="0" fontId="4" fillId="0" borderId="0"/>
    <xf numFmtId="0" fontId="4" fillId="0" borderId="0"/>
    <xf numFmtId="0" fontId="16" fillId="0" borderId="0">
      <alignment vertical="center"/>
    </xf>
    <xf numFmtId="0" fontId="31"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0" fontId="16" fillId="0" borderId="0"/>
    <xf numFmtId="0" fontId="23" fillId="0" borderId="0"/>
    <xf numFmtId="0" fontId="16" fillId="0" borderId="0"/>
    <xf numFmtId="0" fontId="3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6" fillId="0" borderId="0">
      <alignment vertical="center"/>
    </xf>
    <xf numFmtId="0" fontId="16"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0" borderId="0">
      <alignment vertical="center"/>
    </xf>
  </cellStyleXfs>
  <cellXfs count="813">
    <xf numFmtId="0" fontId="0" fillId="0" borderId="0" xfId="0"/>
    <xf numFmtId="38" fontId="9" fillId="0" borderId="0" xfId="2" applyFont="1" applyFill="1" applyBorder="1" applyAlignment="1" applyProtection="1"/>
    <xf numFmtId="0" fontId="0" fillId="3" borderId="2" xfId="0" applyFont="1" applyFill="1" applyBorder="1" applyProtection="1">
      <protection locked="0"/>
    </xf>
    <xf numFmtId="0" fontId="0" fillId="2" borderId="15" xfId="0" applyFont="1" applyFill="1" applyBorder="1" applyProtection="1">
      <protection locked="0"/>
    </xf>
    <xf numFmtId="179" fontId="0" fillId="2" borderId="15" xfId="2" applyNumberFormat="1" applyFont="1" applyFill="1" applyBorder="1" applyAlignment="1" applyProtection="1">
      <protection locked="0"/>
    </xf>
    <xf numFmtId="40" fontId="0" fillId="2" borderId="15" xfId="2" applyNumberFormat="1" applyFont="1" applyFill="1" applyBorder="1" applyAlignment="1" applyProtection="1">
      <protection locked="0"/>
    </xf>
    <xf numFmtId="0" fontId="0" fillId="3" borderId="15" xfId="0" applyFont="1" applyFill="1" applyBorder="1" applyProtection="1">
      <protection locked="0"/>
    </xf>
    <xf numFmtId="179" fontId="0" fillId="2" borderId="2" xfId="2" applyNumberFormat="1" applyFont="1" applyFill="1" applyBorder="1" applyAlignment="1" applyProtection="1">
      <protection locked="0"/>
    </xf>
    <xf numFmtId="40" fontId="0" fillId="2" borderId="2" xfId="2" applyNumberFormat="1" applyFont="1" applyFill="1" applyBorder="1" applyAlignment="1" applyProtection="1">
      <protection locked="0"/>
    </xf>
    <xf numFmtId="40" fontId="0" fillId="0" borderId="39" xfId="2" applyNumberFormat="1" applyFont="1" applyFill="1" applyBorder="1" applyAlignment="1" applyProtection="1"/>
    <xf numFmtId="0" fontId="0" fillId="0" borderId="0" xfId="0" applyProtection="1"/>
    <xf numFmtId="0" fontId="4" fillId="0" borderId="0" xfId="0" applyFont="1" applyProtection="1"/>
    <xf numFmtId="0" fontId="0" fillId="0" borderId="0" xfId="0" applyAlignment="1">
      <alignment horizontal="center"/>
    </xf>
    <xf numFmtId="0" fontId="0" fillId="0" borderId="0" xfId="0" applyNumberFormat="1" applyAlignment="1">
      <alignment horizontal="center"/>
    </xf>
    <xf numFmtId="0" fontId="0" fillId="5" borderId="0" xfId="0" applyFont="1" applyFill="1" applyAlignment="1">
      <alignment horizontal="center"/>
    </xf>
    <xf numFmtId="0" fontId="7" fillId="5" borderId="2" xfId="5" applyFont="1" applyFill="1" applyBorder="1" applyAlignment="1">
      <alignment horizontal="center"/>
    </xf>
    <xf numFmtId="0" fontId="7" fillId="0" borderId="1" xfId="5" applyFont="1" applyFill="1" applyBorder="1" applyAlignment="1">
      <alignment wrapText="1"/>
    </xf>
    <xf numFmtId="0" fontId="7" fillId="0" borderId="69" xfId="5" applyFont="1" applyFill="1" applyBorder="1" applyAlignment="1">
      <alignment wrapText="1"/>
    </xf>
    <xf numFmtId="0" fontId="7" fillId="0" borderId="1" xfId="4" applyFont="1" applyFill="1" applyBorder="1" applyAlignment="1"/>
    <xf numFmtId="0" fontId="0" fillId="0" borderId="0" xfId="0" applyBorder="1" applyAlignment="1">
      <alignment vertical="center"/>
    </xf>
    <xf numFmtId="0" fontId="0" fillId="2" borderId="40" xfId="0" applyFill="1" applyBorder="1" applyAlignment="1" applyProtection="1">
      <alignment shrinkToFit="1"/>
      <protection locked="0"/>
    </xf>
    <xf numFmtId="0" fontId="0" fillId="2" borderId="71" xfId="0" applyFill="1" applyBorder="1" applyAlignment="1" applyProtection="1">
      <alignment shrinkToFit="1"/>
      <protection locked="0"/>
    </xf>
    <xf numFmtId="0" fontId="9" fillId="0" borderId="0" xfId="0" applyFont="1" applyProtection="1"/>
    <xf numFmtId="0" fontId="9" fillId="0" borderId="0" xfId="0" applyFont="1" applyAlignment="1" applyProtection="1">
      <alignment horizontal="center"/>
    </xf>
    <xf numFmtId="0" fontId="0" fillId="7" borderId="0" xfId="0" applyFill="1" applyProtection="1"/>
    <xf numFmtId="0" fontId="0" fillId="2" borderId="2" xfId="0" applyFill="1" applyBorder="1" applyProtection="1">
      <protection locked="0"/>
    </xf>
    <xf numFmtId="0" fontId="0" fillId="3" borderId="8" xfId="0" applyFill="1" applyBorder="1" applyProtection="1">
      <protection locked="0"/>
    </xf>
    <xf numFmtId="179" fontId="0" fillId="2" borderId="8" xfId="2" applyNumberFormat="1" applyFont="1" applyFill="1" applyBorder="1" applyAlignment="1" applyProtection="1">
      <protection locked="0"/>
    </xf>
    <xf numFmtId="40" fontId="0" fillId="2" borderId="8" xfId="2" applyNumberFormat="1" applyFont="1" applyFill="1" applyBorder="1" applyAlignment="1" applyProtection="1">
      <protection locked="0"/>
    </xf>
    <xf numFmtId="40" fontId="0" fillId="0" borderId="83" xfId="2" applyNumberFormat="1" applyFont="1" applyFill="1" applyBorder="1" applyAlignment="1" applyProtection="1"/>
    <xf numFmtId="0" fontId="0" fillId="3" borderId="74" xfId="0" applyFill="1" applyBorder="1" applyProtection="1">
      <protection locked="0"/>
    </xf>
    <xf numFmtId="0" fontId="0" fillId="2" borderId="74" xfId="0" applyFill="1" applyBorder="1" applyProtection="1">
      <protection locked="0"/>
    </xf>
    <xf numFmtId="179" fontId="0" fillId="2" borderId="74" xfId="2" applyNumberFormat="1" applyFont="1" applyFill="1" applyBorder="1" applyAlignment="1" applyProtection="1">
      <protection locked="0"/>
    </xf>
    <xf numFmtId="40" fontId="0" fillId="2" borderId="74" xfId="2" applyNumberFormat="1" applyFont="1" applyFill="1" applyBorder="1" applyAlignment="1" applyProtection="1">
      <protection locked="0"/>
    </xf>
    <xf numFmtId="40" fontId="0" fillId="0" borderId="70" xfId="2" applyNumberFormat="1" applyFont="1" applyFill="1" applyBorder="1" applyAlignment="1" applyProtection="1"/>
    <xf numFmtId="0" fontId="0" fillId="3" borderId="2" xfId="0" applyFill="1" applyBorder="1" applyProtection="1">
      <protection locked="0"/>
    </xf>
    <xf numFmtId="0" fontId="8" fillId="0" borderId="0" xfId="0" applyFont="1" applyProtection="1"/>
    <xf numFmtId="0" fontId="4" fillId="0" borderId="52"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54" xfId="0" applyFont="1" applyBorder="1" applyAlignment="1" applyProtection="1">
      <alignment horizontal="center" vertical="center"/>
    </xf>
    <xf numFmtId="0" fontId="11" fillId="0" borderId="55" xfId="0" applyFont="1" applyBorder="1" applyAlignment="1" applyProtection="1">
      <alignment horizontal="center"/>
    </xf>
    <xf numFmtId="0" fontId="11" fillId="0" borderId="43" xfId="0" applyFont="1" applyBorder="1" applyAlignment="1" applyProtection="1">
      <alignment horizontal="center"/>
    </xf>
    <xf numFmtId="0" fontId="11" fillId="0" borderId="43" xfId="0" applyFont="1" applyBorder="1" applyAlignment="1" applyProtection="1">
      <alignment horizontal="left"/>
    </xf>
    <xf numFmtId="0" fontId="4" fillId="0" borderId="19" xfId="0" applyFont="1" applyBorder="1" applyProtection="1"/>
    <xf numFmtId="0" fontId="4" fillId="0" borderId="55" xfId="0" applyFont="1" applyBorder="1" applyProtection="1"/>
    <xf numFmtId="0" fontId="4" fillId="0" borderId="43" xfId="0" applyFont="1" applyBorder="1" applyProtection="1"/>
    <xf numFmtId="0" fontId="4" fillId="0" borderId="0" xfId="0" applyFont="1" applyAlignment="1" applyProtection="1">
      <alignment vertical="center"/>
    </xf>
    <xf numFmtId="0" fontId="23" fillId="0" borderId="0" xfId="0" applyFont="1" applyProtection="1"/>
    <xf numFmtId="0" fontId="16" fillId="0" borderId="0" xfId="6" applyFont="1" applyBorder="1" applyAlignment="1" applyProtection="1">
      <alignment horizontal="left" vertical="center"/>
    </xf>
    <xf numFmtId="0" fontId="10" fillId="9" borderId="3" xfId="6" applyFont="1" applyFill="1" applyBorder="1" applyAlignment="1" applyProtection="1">
      <alignment horizontal="center" vertical="center"/>
    </xf>
    <xf numFmtId="180" fontId="10" fillId="9" borderId="3" xfId="6" applyNumberFormat="1" applyFont="1" applyFill="1" applyBorder="1" applyAlignment="1" applyProtection="1">
      <alignment horizontal="center" vertical="center"/>
    </xf>
    <xf numFmtId="185" fontId="16" fillId="0" borderId="17" xfId="2" applyNumberFormat="1" applyFont="1" applyFill="1" applyBorder="1" applyAlignment="1" applyProtection="1">
      <alignment vertical="center"/>
    </xf>
    <xf numFmtId="185" fontId="16" fillId="0" borderId="9" xfId="2" applyNumberFormat="1" applyFont="1" applyFill="1" applyBorder="1" applyAlignment="1" applyProtection="1">
      <alignment vertical="center"/>
    </xf>
    <xf numFmtId="185" fontId="16" fillId="0" borderId="20" xfId="2" applyNumberFormat="1" applyFont="1" applyFill="1" applyBorder="1" applyAlignment="1" applyProtection="1">
      <alignment vertical="center"/>
    </xf>
    <xf numFmtId="3" fontId="23" fillId="0" borderId="0" xfId="6" applyNumberFormat="1" applyFont="1" applyBorder="1" applyAlignment="1" applyProtection="1">
      <alignment horizontal="left" vertical="center" shrinkToFit="1"/>
    </xf>
    <xf numFmtId="3" fontId="23" fillId="0" borderId="18" xfId="6" applyNumberFormat="1" applyFont="1" applyBorder="1" applyAlignment="1" applyProtection="1">
      <alignment horizontal="left" vertical="center" shrinkToFit="1"/>
    </xf>
    <xf numFmtId="38" fontId="23" fillId="0" borderId="61" xfId="6" applyNumberFormat="1" applyFont="1" applyBorder="1" applyAlignment="1" applyProtection="1">
      <alignment vertical="center" shrinkToFit="1"/>
    </xf>
    <xf numFmtId="38" fontId="23" fillId="0" borderId="62" xfId="6" applyNumberFormat="1" applyFont="1" applyBorder="1" applyAlignment="1" applyProtection="1">
      <alignment vertical="center" shrinkToFit="1"/>
    </xf>
    <xf numFmtId="38" fontId="23" fillId="0" borderId="0" xfId="6" applyNumberFormat="1" applyFont="1" applyBorder="1" applyAlignment="1" applyProtection="1">
      <alignment vertical="center" shrinkToFit="1"/>
    </xf>
    <xf numFmtId="38" fontId="23" fillId="0" borderId="63" xfId="0" applyNumberFormat="1" applyFont="1" applyBorder="1" applyAlignment="1" applyProtection="1">
      <alignment vertical="center" shrinkToFit="1"/>
    </xf>
    <xf numFmtId="38" fontId="23" fillId="0" borderId="11" xfId="0" applyNumberFormat="1" applyFont="1" applyBorder="1" applyAlignment="1" applyProtection="1">
      <alignment vertical="center" shrinkToFit="1"/>
    </xf>
    <xf numFmtId="0" fontId="16" fillId="0" borderId="11" xfId="0" applyFont="1" applyBorder="1" applyAlignment="1" applyProtection="1">
      <alignment vertical="center" shrinkToFit="1"/>
    </xf>
    <xf numFmtId="0" fontId="16" fillId="0" borderId="63" xfId="0" applyFont="1" applyBorder="1" applyAlignment="1" applyProtection="1">
      <alignment vertical="center" shrinkToFit="1"/>
    </xf>
    <xf numFmtId="0" fontId="23" fillId="0" borderId="63" xfId="6" applyFont="1" applyBorder="1" applyAlignment="1" applyProtection="1">
      <alignment vertical="center" shrinkToFit="1"/>
    </xf>
    <xf numFmtId="186" fontId="23" fillId="0" borderId="18" xfId="6" applyNumberFormat="1" applyFont="1" applyBorder="1" applyAlignment="1" applyProtection="1">
      <alignment horizontal="left" vertical="center" shrinkToFit="1"/>
    </xf>
    <xf numFmtId="185" fontId="16" fillId="0" borderId="60" xfId="2" applyNumberFormat="1" applyFont="1" applyFill="1" applyBorder="1" applyAlignment="1" applyProtection="1">
      <alignment vertical="center"/>
    </xf>
    <xf numFmtId="185" fontId="16" fillId="0" borderId="13" xfId="2" applyNumberFormat="1" applyFont="1" applyFill="1" applyBorder="1" applyAlignment="1" applyProtection="1">
      <alignment vertical="center"/>
    </xf>
    <xf numFmtId="0" fontId="23" fillId="0" borderId="64" xfId="6" applyFont="1" applyBorder="1" applyAlignment="1" applyProtection="1">
      <alignment vertical="center" shrinkToFit="1"/>
    </xf>
    <xf numFmtId="0" fontId="23" fillId="0" borderId="14" xfId="6" applyFont="1" applyBorder="1" applyAlignment="1" applyProtection="1">
      <alignment vertical="center" shrinkToFit="1"/>
    </xf>
    <xf numFmtId="185" fontId="16" fillId="0" borderId="25" xfId="2" applyNumberFormat="1" applyFont="1" applyFill="1" applyBorder="1" applyAlignment="1" applyProtection="1">
      <alignment vertical="center"/>
    </xf>
    <xf numFmtId="38" fontId="23" fillId="0" borderId="63" xfId="6" applyNumberFormat="1" applyFont="1" applyBorder="1" applyAlignment="1" applyProtection="1">
      <alignment vertical="center" shrinkToFit="1"/>
    </xf>
    <xf numFmtId="38" fontId="23" fillId="0" borderId="11" xfId="6" applyNumberFormat="1" applyFont="1" applyBorder="1" applyAlignment="1" applyProtection="1">
      <alignment vertical="center" shrinkToFit="1"/>
    </xf>
    <xf numFmtId="0" fontId="23" fillId="0" borderId="18" xfId="6" applyFont="1" applyBorder="1" applyAlignment="1" applyProtection="1">
      <alignment vertical="center" shrinkToFit="1"/>
    </xf>
    <xf numFmtId="0" fontId="23" fillId="0" borderId="17" xfId="6" applyFont="1" applyBorder="1" applyAlignment="1" applyProtection="1">
      <alignment vertical="center" shrinkToFit="1"/>
    </xf>
    <xf numFmtId="0" fontId="23" fillId="0" borderId="0" xfId="6" applyFont="1" applyBorder="1" applyAlignment="1" applyProtection="1">
      <alignment vertical="center" shrinkToFit="1"/>
    </xf>
    <xf numFmtId="0" fontId="16" fillId="0" borderId="31" xfId="6" applyFont="1" applyBorder="1" applyAlignment="1" applyProtection="1">
      <alignment horizontal="center" vertical="center"/>
    </xf>
    <xf numFmtId="0" fontId="16" fillId="0" borderId="65" xfId="6" applyFont="1" applyBorder="1" applyAlignment="1" applyProtection="1">
      <alignment horizontal="left" vertical="center"/>
    </xf>
    <xf numFmtId="191" fontId="16" fillId="0" borderId="17" xfId="2" applyNumberFormat="1" applyFont="1" applyFill="1" applyBorder="1" applyAlignment="1" applyProtection="1">
      <alignment vertical="center"/>
    </xf>
    <xf numFmtId="188" fontId="23" fillId="0" borderId="31" xfId="6" applyNumberFormat="1" applyFont="1" applyBorder="1" applyAlignment="1" applyProtection="1">
      <alignment horizontal="left" vertical="center"/>
    </xf>
    <xf numFmtId="0" fontId="23" fillId="0" borderId="65" xfId="6" applyFont="1" applyBorder="1" applyAlignment="1" applyProtection="1">
      <alignment vertical="center"/>
    </xf>
    <xf numFmtId="0" fontId="23" fillId="0" borderId="16" xfId="6" applyFont="1" applyBorder="1" applyAlignment="1" applyProtection="1">
      <alignment vertical="center"/>
    </xf>
    <xf numFmtId="190" fontId="16" fillId="0" borderId="76" xfId="2" applyNumberFormat="1" applyFont="1" applyFill="1" applyBorder="1" applyAlignment="1" applyProtection="1">
      <alignment vertical="center"/>
    </xf>
    <xf numFmtId="0" fontId="23" fillId="0" borderId="72" xfId="6" applyFont="1" applyBorder="1" applyAlignment="1" applyProtection="1">
      <alignment vertical="center"/>
    </xf>
    <xf numFmtId="0" fontId="23" fillId="0" borderId="73" xfId="6" applyFont="1" applyBorder="1" applyAlignment="1" applyProtection="1">
      <alignment vertical="center"/>
    </xf>
    <xf numFmtId="0" fontId="0" fillId="8" borderId="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0" fillId="13" borderId="2" xfId="0" applyFont="1" applyFill="1" applyBorder="1" applyAlignment="1" applyProtection="1">
      <alignment vertical="center"/>
      <protection locked="0"/>
    </xf>
    <xf numFmtId="0" fontId="0" fillId="0" borderId="0" xfId="0" applyFont="1" applyFill="1" applyAlignment="1">
      <alignment vertical="center"/>
    </xf>
    <xf numFmtId="0" fontId="0" fillId="0" borderId="0" xfId="0" applyFont="1" applyAlignment="1">
      <alignment vertical="center"/>
    </xf>
    <xf numFmtId="0" fontId="0" fillId="8" borderId="3" xfId="0" applyFont="1" applyFill="1" applyBorder="1" applyAlignment="1">
      <alignment horizontal="center" vertical="center"/>
    </xf>
    <xf numFmtId="0" fontId="0" fillId="8" borderId="4" xfId="0" applyFont="1" applyFill="1" applyBorder="1" applyAlignment="1">
      <alignment horizontal="center" vertical="center"/>
    </xf>
    <xf numFmtId="0" fontId="23" fillId="0" borderId="0" xfId="7" applyFont="1" applyAlignment="1" applyProtection="1">
      <alignment vertical="center"/>
    </xf>
    <xf numFmtId="0" fontId="12" fillId="0" borderId="0" xfId="7" applyFont="1" applyAlignment="1" applyProtection="1">
      <alignment horizontal="right"/>
    </xf>
    <xf numFmtId="177" fontId="12" fillId="0" borderId="0" xfId="7" applyNumberFormat="1" applyFont="1" applyAlignment="1" applyProtection="1">
      <alignment horizontal="left"/>
    </xf>
    <xf numFmtId="177" fontId="23" fillId="0" borderId="0" xfId="7" applyNumberFormat="1" applyFont="1" applyAlignment="1" applyProtection="1">
      <alignment horizontal="left"/>
    </xf>
    <xf numFmtId="0" fontId="23" fillId="0" borderId="0" xfId="7" applyFont="1" applyProtection="1"/>
    <xf numFmtId="0" fontId="9" fillId="0" borderId="0" xfId="7" applyFont="1" applyProtection="1"/>
    <xf numFmtId="0" fontId="24" fillId="0" borderId="0" xfId="7" applyFont="1" applyProtection="1"/>
    <xf numFmtId="0" fontId="16" fillId="0" borderId="0" xfId="0" applyFont="1" applyProtection="1"/>
    <xf numFmtId="0" fontId="23" fillId="9" borderId="16" xfId="7" applyFont="1" applyFill="1" applyBorder="1" applyAlignment="1" applyProtection="1">
      <alignment horizontal="center" wrapText="1"/>
    </xf>
    <xf numFmtId="0" fontId="23" fillId="9" borderId="17" xfId="7" applyFont="1" applyFill="1" applyBorder="1" applyAlignment="1" applyProtection="1">
      <alignment horizontal="center" wrapText="1"/>
    </xf>
    <xf numFmtId="0" fontId="23" fillId="9" borderId="0" xfId="7" applyFont="1" applyFill="1" applyBorder="1" applyAlignment="1" applyProtection="1">
      <alignment horizontal="center" wrapText="1"/>
    </xf>
    <xf numFmtId="0" fontId="23" fillId="9" borderId="18" xfId="7" applyFont="1" applyFill="1" applyBorder="1" applyAlignment="1" applyProtection="1">
      <alignment horizontal="center" wrapText="1"/>
    </xf>
    <xf numFmtId="0" fontId="23" fillId="9" borderId="19" xfId="7" applyFont="1" applyFill="1" applyBorder="1" applyAlignment="1" applyProtection="1">
      <alignment horizontal="center" wrapText="1"/>
    </xf>
    <xf numFmtId="0" fontId="23" fillId="9" borderId="20" xfId="7" applyFont="1" applyFill="1" applyBorder="1" applyAlignment="1" applyProtection="1">
      <alignment horizontal="center" vertical="top" wrapText="1"/>
    </xf>
    <xf numFmtId="0" fontId="23" fillId="9" borderId="21"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wrapText="1"/>
    </xf>
    <xf numFmtId="0" fontId="23" fillId="9" borderId="15" xfId="7" applyFont="1" applyFill="1" applyBorder="1" applyAlignment="1" applyProtection="1">
      <alignment horizontal="center" vertical="top" wrapText="1"/>
    </xf>
    <xf numFmtId="0" fontId="23" fillId="9" borderId="22" xfId="7" applyFont="1" applyFill="1" applyBorder="1" applyAlignment="1" applyProtection="1">
      <alignment horizontal="center" vertical="top" shrinkToFit="1"/>
    </xf>
    <xf numFmtId="0" fontId="23" fillId="0" borderId="8" xfId="7" applyFont="1" applyBorder="1" applyAlignment="1" applyProtection="1">
      <alignment horizontal="center" vertical="center" textRotation="255" wrapText="1"/>
    </xf>
    <xf numFmtId="0" fontId="23" fillId="2" borderId="23" xfId="7" applyFont="1" applyFill="1" applyBorder="1" applyAlignment="1" applyProtection="1">
      <alignment vertical="center"/>
      <protection locked="0"/>
    </xf>
    <xf numFmtId="0" fontId="23" fillId="2" borderId="23" xfId="7" applyFont="1" applyFill="1" applyBorder="1" applyAlignment="1" applyProtection="1">
      <alignment horizontal="center" vertical="center"/>
      <protection locked="0"/>
    </xf>
    <xf numFmtId="9" fontId="23" fillId="2" borderId="23" xfId="1" applyFont="1" applyFill="1" applyBorder="1" applyAlignment="1" applyProtection="1">
      <alignment vertical="center"/>
      <protection locked="0"/>
    </xf>
    <xf numFmtId="38" fontId="23" fillId="2" borderId="8" xfId="2" applyFont="1" applyFill="1" applyBorder="1" applyAlignment="1" applyProtection="1">
      <alignment horizontal="right" vertical="center" shrinkToFit="1"/>
      <protection locked="0"/>
    </xf>
    <xf numFmtId="0" fontId="23" fillId="0" borderId="19" xfId="7" applyFont="1" applyBorder="1" applyAlignment="1" applyProtection="1">
      <alignment horizontal="center" vertical="center" textRotation="255" wrapText="1"/>
    </xf>
    <xf numFmtId="38" fontId="23" fillId="2" borderId="10" xfId="2" applyFont="1" applyFill="1" applyBorder="1" applyAlignment="1" applyProtection="1">
      <alignment horizontal="right" vertical="center" shrinkToFit="1"/>
      <protection locked="0"/>
    </xf>
    <xf numFmtId="38" fontId="23" fillId="2" borderId="24" xfId="2" applyFont="1" applyFill="1" applyBorder="1" applyAlignment="1" applyProtection="1">
      <alignment horizontal="right" vertical="center" shrinkToFit="1"/>
      <protection locked="0"/>
    </xf>
    <xf numFmtId="0" fontId="23" fillId="0" borderId="15" xfId="7" applyFont="1" applyBorder="1" applyAlignment="1" applyProtection="1">
      <alignment horizontal="center" vertical="center" textRotation="255" wrapText="1"/>
    </xf>
    <xf numFmtId="3" fontId="23" fillId="0" borderId="22" xfId="7" applyNumberFormat="1" applyFont="1" applyBorder="1" applyAlignment="1" applyProtection="1">
      <alignment vertical="center"/>
    </xf>
    <xf numFmtId="0" fontId="23" fillId="0" borderId="19" xfId="0" applyFont="1" applyBorder="1" applyAlignment="1" applyProtection="1">
      <alignment horizontal="center" vertical="center" textRotation="255" wrapText="1"/>
    </xf>
    <xf numFmtId="0" fontId="23" fillId="0" borderId="15" xfId="0" applyFont="1" applyBorder="1" applyAlignment="1" applyProtection="1">
      <alignment horizontal="center" vertical="center" textRotation="255" wrapText="1"/>
    </xf>
    <xf numFmtId="9" fontId="23" fillId="2" borderId="23" xfId="1" applyNumberFormat="1" applyFont="1" applyFill="1" applyBorder="1" applyAlignment="1" applyProtection="1">
      <alignment vertical="center"/>
      <protection locked="0"/>
    </xf>
    <xf numFmtId="9" fontId="23" fillId="2" borderId="24" xfId="1" applyFont="1" applyFill="1" applyBorder="1" applyAlignment="1" applyProtection="1">
      <alignment vertical="center"/>
      <protection locked="0"/>
    </xf>
    <xf numFmtId="0" fontId="23" fillId="0" borderId="3" xfId="7" applyFont="1" applyBorder="1" applyProtection="1"/>
    <xf numFmtId="3" fontId="23" fillId="0" borderId="2" xfId="7" applyNumberFormat="1" applyFont="1" applyBorder="1" applyAlignment="1" applyProtection="1">
      <alignment vertical="center"/>
    </xf>
    <xf numFmtId="3" fontId="23" fillId="0" borderId="0" xfId="7" applyNumberFormat="1" applyFont="1" applyAlignment="1" applyProtection="1">
      <alignment vertical="center"/>
    </xf>
    <xf numFmtId="38" fontId="23" fillId="0" borderId="0" xfId="2" applyFont="1" applyFill="1" applyBorder="1" applyAlignment="1" applyProtection="1">
      <alignment vertical="center"/>
    </xf>
    <xf numFmtId="0" fontId="23" fillId="9" borderId="28" xfId="7" applyFont="1" applyFill="1" applyBorder="1" applyAlignment="1" applyProtection="1">
      <alignment vertical="center"/>
    </xf>
    <xf numFmtId="0" fontId="23" fillId="9" borderId="29" xfId="7" applyFont="1" applyFill="1" applyBorder="1" applyAlignment="1" applyProtection="1">
      <alignment horizontal="center" vertical="center"/>
    </xf>
    <xf numFmtId="0" fontId="23" fillId="0" borderId="0" xfId="7" applyFont="1" applyBorder="1" applyAlignment="1" applyProtection="1">
      <alignment vertical="center"/>
    </xf>
    <xf numFmtId="0" fontId="23" fillId="0" borderId="0" xfId="7" applyFont="1" applyBorder="1" applyProtection="1"/>
    <xf numFmtId="0" fontId="23" fillId="9" borderId="3" xfId="7" applyFont="1" applyFill="1" applyBorder="1" applyAlignment="1" applyProtection="1">
      <alignment vertical="center"/>
    </xf>
    <xf numFmtId="0" fontId="23" fillId="9" borderId="30" xfId="7" applyFont="1" applyFill="1" applyBorder="1" applyAlignment="1" applyProtection="1">
      <alignment vertical="center"/>
    </xf>
    <xf numFmtId="0" fontId="23" fillId="9" borderId="2" xfId="7" applyFont="1" applyFill="1" applyBorder="1" applyAlignment="1" applyProtection="1">
      <alignment horizontal="center" vertical="center"/>
    </xf>
    <xf numFmtId="0" fontId="23" fillId="9" borderId="31" xfId="7" applyFont="1" applyFill="1" applyBorder="1" applyAlignment="1" applyProtection="1">
      <alignment vertical="center"/>
    </xf>
    <xf numFmtId="0" fontId="23" fillId="9" borderId="16" xfId="7" applyFont="1" applyFill="1" applyBorder="1" applyAlignment="1" applyProtection="1">
      <alignment vertical="center"/>
    </xf>
    <xf numFmtId="0" fontId="23" fillId="0" borderId="5" xfId="0" applyFont="1" applyBorder="1" applyAlignment="1" applyProtection="1">
      <alignment horizontal="center"/>
    </xf>
    <xf numFmtId="0" fontId="23" fillId="0" borderId="32" xfId="0" applyFont="1" applyBorder="1" applyProtection="1"/>
    <xf numFmtId="9" fontId="23" fillId="0" borderId="33" xfId="1" applyFont="1" applyFill="1" applyBorder="1" applyAlignment="1" applyProtection="1">
      <alignment horizontal="center"/>
    </xf>
    <xf numFmtId="0" fontId="23" fillId="0" borderId="0" xfId="0" applyFont="1" applyBorder="1" applyAlignment="1" applyProtection="1">
      <alignment vertical="center"/>
    </xf>
    <xf numFmtId="0" fontId="23" fillId="0" borderId="17" xfId="7" applyFont="1" applyBorder="1" applyProtection="1"/>
    <xf numFmtId="0" fontId="23" fillId="0" borderId="0" xfId="0" applyFont="1" applyBorder="1" applyAlignment="1" applyProtection="1">
      <alignment vertical="center" shrinkToFit="1"/>
    </xf>
    <xf numFmtId="38" fontId="23" fillId="0" borderId="19" xfId="2" applyFont="1" applyFill="1" applyBorder="1" applyAlignment="1" applyProtection="1">
      <alignment vertical="center"/>
    </xf>
    <xf numFmtId="0" fontId="23" fillId="0" borderId="31" xfId="0" applyFont="1" applyBorder="1" applyAlignment="1" applyProtection="1">
      <alignment horizontal="center"/>
    </xf>
    <xf numFmtId="178" fontId="23" fillId="0" borderId="16" xfId="0" applyNumberFormat="1" applyFont="1" applyBorder="1" applyProtection="1"/>
    <xf numFmtId="0" fontId="23" fillId="0" borderId="13" xfId="0" applyFont="1" applyBorder="1" applyAlignment="1" applyProtection="1">
      <alignment horizontal="center"/>
    </xf>
    <xf numFmtId="0" fontId="23" fillId="0" borderId="34" xfId="0" applyFont="1" applyBorder="1" applyProtection="1"/>
    <xf numFmtId="9" fontId="23" fillId="0" borderId="35" xfId="1" applyFont="1" applyFill="1" applyBorder="1" applyAlignment="1" applyProtection="1">
      <alignment horizontal="center"/>
    </xf>
    <xf numFmtId="9" fontId="23" fillId="0" borderId="19" xfId="1" applyFont="1" applyFill="1" applyBorder="1" applyAlignment="1" applyProtection="1">
      <alignment horizontal="right" vertical="center"/>
    </xf>
    <xf numFmtId="0" fontId="23" fillId="0" borderId="17" xfId="0" applyFont="1" applyBorder="1" applyAlignment="1" applyProtection="1">
      <alignment horizontal="center"/>
    </xf>
    <xf numFmtId="178" fontId="23" fillId="0" borderId="18" xfId="0" applyNumberFormat="1" applyFont="1" applyBorder="1" applyProtection="1"/>
    <xf numFmtId="0" fontId="23" fillId="0" borderId="20" xfId="0" applyFont="1" applyBorder="1" applyAlignment="1" applyProtection="1">
      <alignment horizontal="center"/>
    </xf>
    <xf numFmtId="178" fontId="23" fillId="0" borderId="22" xfId="0" applyNumberFormat="1" applyFont="1" applyBorder="1" applyProtection="1"/>
    <xf numFmtId="9" fontId="23" fillId="0" borderId="19" xfId="0" applyNumberFormat="1" applyFont="1" applyFill="1" applyBorder="1" applyAlignment="1" applyProtection="1">
      <alignment vertical="center"/>
    </xf>
    <xf numFmtId="0" fontId="23" fillId="0" borderId="20" xfId="7" applyFont="1" applyBorder="1" applyProtection="1"/>
    <xf numFmtId="0" fontId="23" fillId="0" borderId="21" xfId="0" applyFont="1" applyBorder="1" applyAlignment="1" applyProtection="1">
      <alignment vertical="center"/>
    </xf>
    <xf numFmtId="38" fontId="23" fillId="0" borderId="15" xfId="2" applyFont="1" applyFill="1" applyBorder="1" applyAlignment="1" applyProtection="1">
      <alignment vertical="center"/>
    </xf>
    <xf numFmtId="0" fontId="9" fillId="0" borderId="0" xfId="7" applyFont="1" applyAlignment="1" applyProtection="1">
      <alignment horizontal="center"/>
    </xf>
    <xf numFmtId="0" fontId="24" fillId="0" borderId="0" xfId="3" applyNumberFormat="1" applyFont="1" applyBorder="1" applyAlignment="1" applyProtection="1">
      <alignment horizontal="right"/>
    </xf>
    <xf numFmtId="181" fontId="23" fillId="2" borderId="42" xfId="3" applyNumberFormat="1" applyFont="1" applyFill="1" applyBorder="1" applyAlignment="1" applyProtection="1">
      <alignment vertical="center"/>
      <protection locked="0"/>
    </xf>
    <xf numFmtId="0" fontId="9" fillId="3" borderId="42" xfId="3" applyNumberFormat="1" applyFont="1" applyFill="1" applyBorder="1" applyAlignment="1" applyProtection="1">
      <alignment horizontal="center" vertical="center"/>
      <protection locked="0"/>
    </xf>
    <xf numFmtId="3" fontId="23" fillId="2" borderId="42" xfId="3" applyNumberFormat="1" applyFont="1" applyFill="1" applyBorder="1" applyAlignment="1" applyProtection="1">
      <alignment horizontal="center" vertical="center"/>
      <protection locked="0"/>
    </xf>
    <xf numFmtId="9" fontId="23" fillId="2" borderId="42" xfId="1" applyNumberFormat="1" applyFont="1" applyFill="1" applyBorder="1" applyAlignment="1" applyProtection="1">
      <alignment horizontal="center" vertical="center"/>
      <protection locked="0"/>
    </xf>
    <xf numFmtId="38" fontId="23" fillId="2" borderId="42" xfId="2" applyFont="1" applyFill="1" applyBorder="1" applyAlignment="1" applyProtection="1">
      <alignment vertical="center"/>
      <protection locked="0"/>
    </xf>
    <xf numFmtId="38" fontId="23" fillId="3" borderId="42" xfId="2" applyFont="1" applyFill="1" applyBorder="1" applyAlignment="1" applyProtection="1">
      <alignment horizontal="center" vertical="center"/>
      <protection locked="0"/>
    </xf>
    <xf numFmtId="38" fontId="23" fillId="11" borderId="42" xfId="2" applyFont="1" applyFill="1" applyBorder="1" applyAlignment="1" applyProtection="1">
      <alignment vertical="center"/>
      <protection locked="0"/>
    </xf>
    <xf numFmtId="38" fontId="23" fillId="2" borderId="44" xfId="2" applyFont="1" applyFill="1" applyBorder="1" applyAlignment="1" applyProtection="1">
      <alignment vertical="center"/>
      <protection locked="0"/>
    </xf>
    <xf numFmtId="9" fontId="23" fillId="2" borderId="41" xfId="1" applyFont="1" applyFill="1" applyBorder="1" applyAlignment="1" applyProtection="1">
      <alignment vertical="center"/>
      <protection locked="0"/>
    </xf>
    <xf numFmtId="9" fontId="23" fillId="2" borderId="42" xfId="1" applyFont="1" applyFill="1" applyBorder="1" applyAlignment="1" applyProtection="1">
      <alignment vertical="center"/>
      <protection locked="0"/>
    </xf>
    <xf numFmtId="9" fontId="23" fillId="2" borderId="45" xfId="1" applyFont="1" applyFill="1" applyBorder="1" applyAlignment="1" applyProtection="1">
      <alignment vertical="center"/>
      <protection locked="0"/>
    </xf>
    <xf numFmtId="181" fontId="23" fillId="7" borderId="46" xfId="3" applyNumberFormat="1" applyFont="1" applyFill="1" applyBorder="1" applyAlignment="1" applyProtection="1">
      <alignment vertical="center"/>
      <protection locked="0"/>
    </xf>
    <xf numFmtId="181" fontId="23" fillId="7" borderId="42" xfId="3" applyNumberFormat="1" applyFont="1" applyFill="1" applyBorder="1" applyAlignment="1" applyProtection="1">
      <alignment vertical="center"/>
      <protection locked="0"/>
    </xf>
    <xf numFmtId="181" fontId="23" fillId="7" borderId="44"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horizontal="left" vertical="center"/>
      <protection locked="0"/>
    </xf>
    <xf numFmtId="0" fontId="9" fillId="2" borderId="42" xfId="3" applyNumberFormat="1" applyFont="1" applyFill="1" applyBorder="1" applyAlignment="1" applyProtection="1">
      <alignment horizontal="left" vertical="center"/>
      <protection locked="0"/>
    </xf>
    <xf numFmtId="14" fontId="9" fillId="2" borderId="47" xfId="3" applyNumberFormat="1" applyFont="1" applyFill="1" applyBorder="1" applyAlignment="1" applyProtection="1">
      <alignment horizontal="left" vertical="center"/>
      <protection locked="0"/>
    </xf>
    <xf numFmtId="181" fontId="23" fillId="2" borderId="47" xfId="3" applyNumberFormat="1" applyFont="1" applyFill="1" applyBorder="1" applyAlignment="1" applyProtection="1">
      <alignment vertical="center"/>
      <protection locked="0"/>
    </xf>
    <xf numFmtId="0" fontId="9" fillId="3" borderId="47" xfId="3" applyNumberFormat="1" applyFont="1" applyFill="1" applyBorder="1" applyAlignment="1" applyProtection="1">
      <alignment horizontal="center" vertical="center"/>
      <protection locked="0"/>
    </xf>
    <xf numFmtId="181" fontId="30" fillId="2" borderId="47" xfId="3" applyNumberFormat="1" applyFont="1" applyFill="1" applyBorder="1" applyAlignment="1" applyProtection="1">
      <alignment vertical="center"/>
      <protection locked="0"/>
    </xf>
    <xf numFmtId="3" fontId="23" fillId="2" borderId="47" xfId="3" applyNumberFormat="1" applyFont="1" applyFill="1" applyBorder="1" applyAlignment="1" applyProtection="1">
      <alignment horizontal="center" vertical="center"/>
      <protection locked="0"/>
    </xf>
    <xf numFmtId="9" fontId="23" fillId="2" borderId="47" xfId="1" applyNumberFormat="1" applyFont="1" applyFill="1" applyBorder="1" applyAlignment="1" applyProtection="1">
      <alignment horizontal="center" vertical="center"/>
      <protection locked="0"/>
    </xf>
    <xf numFmtId="38" fontId="23" fillId="2" borderId="47" xfId="2" applyFont="1" applyFill="1" applyBorder="1" applyAlignment="1" applyProtection="1">
      <alignment vertical="center"/>
      <protection locked="0"/>
    </xf>
    <xf numFmtId="38" fontId="23" fillId="3" borderId="47" xfId="2" applyFont="1" applyFill="1" applyBorder="1" applyAlignment="1" applyProtection="1">
      <alignment horizontal="center" vertical="center"/>
      <protection locked="0"/>
    </xf>
    <xf numFmtId="38" fontId="23" fillId="11" borderId="47" xfId="2" applyFont="1" applyFill="1" applyBorder="1" applyAlignment="1" applyProtection="1">
      <alignment vertical="center"/>
      <protection locked="0"/>
    </xf>
    <xf numFmtId="38" fontId="23" fillId="2" borderId="49" xfId="2" applyFont="1" applyFill="1" applyBorder="1" applyAlignment="1" applyProtection="1">
      <alignment vertical="center"/>
      <protection locked="0"/>
    </xf>
    <xf numFmtId="9" fontId="23" fillId="2" borderId="48" xfId="1" applyFont="1" applyFill="1" applyBorder="1" applyAlignment="1" applyProtection="1">
      <alignment vertical="center"/>
      <protection locked="0"/>
    </xf>
    <xf numFmtId="9" fontId="23" fillId="2" borderId="47" xfId="1" applyFont="1" applyFill="1" applyBorder="1" applyAlignment="1" applyProtection="1">
      <alignment vertical="center"/>
      <protection locked="0"/>
    </xf>
    <xf numFmtId="9" fontId="23" fillId="2" borderId="50" xfId="1" applyFont="1" applyFill="1" applyBorder="1" applyAlignment="1" applyProtection="1">
      <alignment vertical="center"/>
      <protection locked="0"/>
    </xf>
    <xf numFmtId="181" fontId="23" fillId="7" borderId="51" xfId="3" applyNumberFormat="1" applyFont="1" applyFill="1" applyBorder="1" applyAlignment="1" applyProtection="1">
      <alignment vertical="center"/>
      <protection locked="0"/>
    </xf>
    <xf numFmtId="181" fontId="23" fillId="7" borderId="47" xfId="3" applyNumberFormat="1" applyFont="1" applyFill="1" applyBorder="1" applyAlignment="1" applyProtection="1">
      <alignment vertical="center"/>
      <protection locked="0"/>
    </xf>
    <xf numFmtId="181" fontId="23" fillId="7" borderId="49" xfId="3" applyNumberFormat="1" applyFont="1" applyFill="1" applyBorder="1" applyAlignment="1" applyProtection="1">
      <alignment vertical="center"/>
      <protection locked="0"/>
    </xf>
    <xf numFmtId="0" fontId="9" fillId="2" borderId="47" xfId="3" applyNumberFormat="1" applyFont="1" applyFill="1" applyBorder="1" applyAlignment="1" applyProtection="1">
      <alignment vertical="center"/>
      <protection locked="0"/>
    </xf>
    <xf numFmtId="0" fontId="9" fillId="3" borderId="47" xfId="3" applyFont="1" applyFill="1" applyBorder="1" applyAlignment="1" applyProtection="1">
      <alignment horizontal="center" vertical="center"/>
      <protection locked="0"/>
    </xf>
    <xf numFmtId="182" fontId="9" fillId="2" borderId="47" xfId="3" applyNumberFormat="1" applyFont="1" applyFill="1" applyBorder="1" applyAlignment="1" applyProtection="1">
      <alignment horizontal="left" vertical="center"/>
      <protection locked="0"/>
    </xf>
    <xf numFmtId="182" fontId="9" fillId="3" borderId="47" xfId="3" applyNumberFormat="1" applyFont="1" applyFill="1" applyBorder="1" applyAlignment="1" applyProtection="1">
      <alignment horizontal="center" vertical="center"/>
      <protection locked="0"/>
    </xf>
    <xf numFmtId="182" fontId="9" fillId="2" borderId="47" xfId="3" applyNumberFormat="1" applyFont="1" applyFill="1" applyBorder="1" applyAlignment="1" applyProtection="1">
      <alignment vertical="center"/>
      <protection locked="0"/>
    </xf>
    <xf numFmtId="1" fontId="23" fillId="2" borderId="47" xfId="3" applyNumberFormat="1" applyFont="1" applyFill="1" applyBorder="1" applyAlignment="1" applyProtection="1">
      <alignment horizontal="center" vertical="center"/>
      <protection locked="0"/>
    </xf>
    <xf numFmtId="0" fontId="23" fillId="0" borderId="0" xfId="3" applyFont="1" applyProtection="1"/>
    <xf numFmtId="0" fontId="15" fillId="0" borderId="0" xfId="3" applyFont="1" applyProtection="1"/>
    <xf numFmtId="0" fontId="23" fillId="2" borderId="24" xfId="2" applyNumberFormat="1" applyFont="1" applyFill="1" applyBorder="1" applyAlignment="1" applyProtection="1">
      <alignment horizontal="right" vertical="center" shrinkToFit="1"/>
      <protection locked="0"/>
    </xf>
    <xf numFmtId="3" fontId="23" fillId="2" borderId="24" xfId="2" applyNumberFormat="1" applyFont="1" applyFill="1" applyBorder="1" applyAlignment="1" applyProtection="1">
      <alignment horizontal="right" vertical="center" shrinkToFit="1"/>
      <protection locked="0"/>
    </xf>
    <xf numFmtId="0" fontId="16" fillId="0" borderId="0" xfId="0" applyFont="1" applyAlignment="1" applyProtection="1">
      <alignment shrinkToFit="1"/>
    </xf>
    <xf numFmtId="38" fontId="9" fillId="0" borderId="0" xfId="2" applyFont="1" applyFill="1" applyBorder="1" applyAlignment="1" applyProtection="1">
      <alignment shrinkToFit="1"/>
    </xf>
    <xf numFmtId="0" fontId="23" fillId="9" borderId="8" xfId="7" applyFont="1" applyFill="1" applyBorder="1" applyAlignment="1" applyProtection="1">
      <alignment horizontal="center" wrapText="1"/>
    </xf>
    <xf numFmtId="0" fontId="25" fillId="3" borderId="47" xfId="3" applyFont="1" applyFill="1" applyBorder="1" applyAlignment="1" applyProtection="1">
      <alignment horizontal="center" vertical="center"/>
      <protection locked="0"/>
    </xf>
    <xf numFmtId="0" fontId="23" fillId="9" borderId="16" xfId="7" applyFont="1" applyFill="1" applyBorder="1" applyAlignment="1" applyProtection="1">
      <alignment horizontal="center" vertical="center"/>
    </xf>
    <xf numFmtId="0" fontId="23" fillId="0" borderId="31" xfId="0" applyFont="1" applyFill="1" applyBorder="1" applyProtection="1"/>
    <xf numFmtId="38" fontId="23" fillId="0" borderId="16" xfId="2" applyFont="1" applyFill="1" applyBorder="1" applyAlignment="1" applyProtection="1"/>
    <xf numFmtId="0" fontId="23" fillId="0" borderId="0" xfId="0" applyFont="1" applyFill="1" applyBorder="1" applyProtection="1"/>
    <xf numFmtId="9" fontId="23" fillId="0" borderId="18" xfId="0" applyNumberFormat="1" applyFont="1" applyFill="1" applyBorder="1" applyProtection="1"/>
    <xf numFmtId="38" fontId="23" fillId="0" borderId="18" xfId="2" applyFont="1" applyFill="1" applyBorder="1" applyAlignment="1" applyProtection="1"/>
    <xf numFmtId="38" fontId="23" fillId="0" borderId="18" xfId="2" applyFont="1" applyFill="1" applyBorder="1" applyAlignment="1" applyProtection="1">
      <alignment vertical="center"/>
    </xf>
    <xf numFmtId="0" fontId="23" fillId="0" borderId="21" xfId="0" applyFont="1" applyFill="1" applyBorder="1" applyProtection="1"/>
    <xf numFmtId="38" fontId="23" fillId="0" borderId="22" xfId="2" applyFont="1" applyFill="1" applyBorder="1" applyAlignment="1" applyProtection="1">
      <alignment vertical="center"/>
    </xf>
    <xf numFmtId="0" fontId="25" fillId="2" borderId="47" xfId="3" applyNumberFormat="1" applyFont="1" applyFill="1" applyBorder="1" applyAlignment="1" applyProtection="1">
      <alignment vertical="center"/>
      <protection locked="0"/>
    </xf>
    <xf numFmtId="3" fontId="30" fillId="2" borderId="47" xfId="3" applyNumberFormat="1" applyFont="1" applyFill="1" applyBorder="1" applyAlignment="1" applyProtection="1">
      <alignment horizontal="center" vertical="center"/>
      <protection locked="0"/>
    </xf>
    <xf numFmtId="9" fontId="30" fillId="2" borderId="47" xfId="1" applyNumberFormat="1" applyFont="1" applyFill="1" applyBorder="1" applyAlignment="1" applyProtection="1">
      <alignment horizontal="center" vertical="center"/>
      <protection locked="0"/>
    </xf>
    <xf numFmtId="0" fontId="9" fillId="2" borderId="85" xfId="3" applyNumberFormat="1" applyFont="1" applyFill="1" applyBorder="1" applyAlignment="1" applyProtection="1">
      <alignment horizontal="left" vertical="center"/>
      <protection locked="0"/>
    </xf>
    <xf numFmtId="181" fontId="23" fillId="2" borderId="85" xfId="3" applyNumberFormat="1" applyFont="1" applyFill="1" applyBorder="1" applyAlignment="1" applyProtection="1">
      <alignment vertical="center"/>
      <protection locked="0"/>
    </xf>
    <xf numFmtId="0" fontId="9" fillId="3" borderId="85" xfId="3" applyNumberFormat="1" applyFont="1" applyFill="1" applyBorder="1" applyAlignment="1" applyProtection="1">
      <alignment horizontal="center" vertical="center"/>
      <protection locked="0"/>
    </xf>
    <xf numFmtId="3" fontId="23" fillId="2" borderId="85" xfId="3" applyNumberFormat="1" applyFont="1" applyFill="1" applyBorder="1" applyAlignment="1" applyProtection="1">
      <alignment horizontal="center" vertical="center"/>
      <protection locked="0"/>
    </xf>
    <xf numFmtId="9" fontId="23" fillId="2" borderId="85" xfId="1" applyNumberFormat="1" applyFont="1" applyFill="1" applyBorder="1" applyAlignment="1" applyProtection="1">
      <alignment horizontal="center" vertical="center"/>
      <protection locked="0"/>
    </xf>
    <xf numFmtId="38" fontId="23" fillId="2" borderId="85" xfId="2" applyFont="1" applyFill="1" applyBorder="1" applyAlignment="1" applyProtection="1">
      <alignment vertical="center"/>
      <protection locked="0"/>
    </xf>
    <xf numFmtId="38" fontId="23" fillId="3" borderId="85" xfId="2" applyFont="1" applyFill="1" applyBorder="1" applyAlignment="1" applyProtection="1">
      <alignment horizontal="center" vertical="center"/>
      <protection locked="0"/>
    </xf>
    <xf numFmtId="38" fontId="23" fillId="11" borderId="85" xfId="2" applyFont="1" applyFill="1" applyBorder="1" applyAlignment="1" applyProtection="1">
      <alignment vertical="center"/>
      <protection locked="0"/>
    </xf>
    <xf numFmtId="38" fontId="23" fillId="2" borderId="86" xfId="2" applyFont="1" applyFill="1" applyBorder="1" applyAlignment="1" applyProtection="1">
      <alignment vertical="center"/>
      <protection locked="0"/>
    </xf>
    <xf numFmtId="9" fontId="23" fillId="2" borderId="87" xfId="1" applyFont="1" applyFill="1" applyBorder="1" applyAlignment="1" applyProtection="1">
      <alignment vertical="center"/>
      <protection locked="0"/>
    </xf>
    <xf numFmtId="9" fontId="23" fillId="2" borderId="85" xfId="1" applyFont="1" applyFill="1" applyBorder="1" applyAlignment="1" applyProtection="1">
      <alignment vertical="center"/>
      <protection locked="0"/>
    </xf>
    <xf numFmtId="9" fontId="23" fillId="2" borderId="88" xfId="1" applyFont="1" applyFill="1" applyBorder="1" applyAlignment="1" applyProtection="1">
      <alignment vertical="center"/>
      <protection locked="0"/>
    </xf>
    <xf numFmtId="181" fontId="23" fillId="7" borderId="89" xfId="3" applyNumberFormat="1" applyFont="1" applyFill="1" applyBorder="1" applyAlignment="1" applyProtection="1">
      <alignment vertical="center"/>
      <protection locked="0"/>
    </xf>
    <xf numFmtId="181" fontId="23" fillId="7" borderId="85" xfId="3" applyNumberFormat="1" applyFont="1" applyFill="1" applyBorder="1" applyAlignment="1" applyProtection="1">
      <alignment vertical="center"/>
      <protection locked="0"/>
    </xf>
    <xf numFmtId="181" fontId="23" fillId="7" borderId="86" xfId="3" applyNumberFormat="1" applyFont="1" applyFill="1" applyBorder="1" applyAlignment="1" applyProtection="1">
      <alignment vertical="center"/>
      <protection locked="0"/>
    </xf>
    <xf numFmtId="182" fontId="24" fillId="2" borderId="90" xfId="3" applyNumberFormat="1" applyFont="1" applyFill="1" applyBorder="1" applyAlignment="1" applyProtection="1">
      <alignment vertical="center"/>
      <protection locked="0"/>
    </xf>
    <xf numFmtId="182" fontId="24" fillId="2" borderId="92" xfId="3" applyNumberFormat="1" applyFont="1" applyFill="1" applyBorder="1" applyAlignment="1" applyProtection="1">
      <alignment vertical="center"/>
      <protection locked="0"/>
    </xf>
    <xf numFmtId="181" fontId="23" fillId="16" borderId="94" xfId="3" applyNumberFormat="1" applyFont="1" applyFill="1" applyBorder="1" applyAlignment="1" applyProtection="1">
      <alignment vertical="center"/>
    </xf>
    <xf numFmtId="181" fontId="23" fillId="2" borderId="100" xfId="3" applyNumberFormat="1" applyFont="1" applyFill="1" applyBorder="1" applyAlignment="1" applyProtection="1">
      <alignment vertical="center"/>
      <protection locked="0"/>
    </xf>
    <xf numFmtId="0" fontId="9" fillId="3" borderId="100" xfId="3" applyNumberFormat="1" applyFont="1" applyFill="1" applyBorder="1" applyAlignment="1" applyProtection="1">
      <alignment horizontal="center" vertical="center"/>
      <protection locked="0"/>
    </xf>
    <xf numFmtId="3" fontId="23" fillId="2" borderId="100" xfId="3" applyNumberFormat="1" applyFont="1" applyFill="1" applyBorder="1" applyAlignment="1" applyProtection="1">
      <alignment horizontal="center" vertical="center"/>
      <protection locked="0"/>
    </xf>
    <xf numFmtId="9" fontId="23" fillId="2" borderId="100" xfId="1" applyNumberFormat="1" applyFont="1" applyFill="1" applyBorder="1" applyAlignment="1" applyProtection="1">
      <alignment horizontal="center" vertical="center"/>
      <protection locked="0"/>
    </xf>
    <xf numFmtId="38" fontId="23" fillId="2" borderId="100" xfId="2" applyFont="1" applyFill="1" applyBorder="1" applyAlignment="1" applyProtection="1">
      <alignment vertical="center"/>
      <protection locked="0"/>
    </xf>
    <xf numFmtId="38" fontId="23" fillId="3" borderId="100" xfId="2" applyFont="1" applyFill="1" applyBorder="1" applyAlignment="1" applyProtection="1">
      <alignment horizontal="center" vertical="center"/>
      <protection locked="0"/>
    </xf>
    <xf numFmtId="38" fontId="23" fillId="11" borderId="100" xfId="2" applyFont="1" applyFill="1" applyBorder="1" applyAlignment="1" applyProtection="1">
      <alignment vertical="center"/>
      <protection locked="0"/>
    </xf>
    <xf numFmtId="38" fontId="23" fillId="2" borderId="101" xfId="2" applyFont="1" applyFill="1" applyBorder="1" applyAlignment="1" applyProtection="1">
      <alignment vertical="center"/>
      <protection locked="0"/>
    </xf>
    <xf numFmtId="9" fontId="23" fillId="2" borderId="102" xfId="1" applyFont="1" applyFill="1" applyBorder="1" applyAlignment="1" applyProtection="1">
      <alignment vertical="center"/>
      <protection locked="0"/>
    </xf>
    <xf numFmtId="9" fontId="23" fillId="2" borderId="100" xfId="1" applyFont="1" applyFill="1" applyBorder="1" applyAlignment="1" applyProtection="1">
      <alignment vertical="center"/>
      <protection locked="0"/>
    </xf>
    <xf numFmtId="9" fontId="23" fillId="2" borderId="103" xfId="1" applyFont="1" applyFill="1" applyBorder="1" applyAlignment="1" applyProtection="1">
      <alignment vertical="center"/>
      <protection locked="0"/>
    </xf>
    <xf numFmtId="181" fontId="23" fillId="7" borderId="104" xfId="3" applyNumberFormat="1" applyFont="1" applyFill="1" applyBorder="1" applyAlignment="1" applyProtection="1">
      <alignment vertical="center"/>
      <protection locked="0"/>
    </xf>
    <xf numFmtId="181" fontId="23" fillId="7" borderId="100" xfId="3" applyNumberFormat="1" applyFont="1" applyFill="1" applyBorder="1" applyAlignment="1" applyProtection="1">
      <alignment vertical="center"/>
      <protection locked="0"/>
    </xf>
    <xf numFmtId="181" fontId="23" fillId="7" borderId="101" xfId="3" applyNumberFormat="1" applyFont="1" applyFill="1" applyBorder="1" applyAlignment="1" applyProtection="1">
      <alignment vertical="center"/>
      <protection locked="0"/>
    </xf>
    <xf numFmtId="182" fontId="24" fillId="2" borderId="105" xfId="3" applyNumberFormat="1" applyFont="1" applyFill="1" applyBorder="1" applyAlignment="1" applyProtection="1">
      <alignment vertical="center"/>
      <protection locked="0"/>
    </xf>
    <xf numFmtId="0" fontId="9" fillId="2" borderId="106" xfId="3" applyNumberFormat="1" applyFont="1" applyFill="1" applyBorder="1" applyAlignment="1" applyProtection="1">
      <alignment horizontal="left" vertical="center"/>
      <protection locked="0"/>
    </xf>
    <xf numFmtId="0" fontId="9" fillId="2" borderId="107" xfId="3" applyNumberFormat="1" applyFont="1" applyFill="1" applyBorder="1" applyAlignment="1" applyProtection="1">
      <alignment horizontal="left" vertical="center"/>
      <protection locked="0"/>
    </xf>
    <xf numFmtId="0" fontId="9" fillId="2" borderId="108" xfId="3" applyNumberFormat="1" applyFont="1" applyFill="1" applyBorder="1" applyAlignment="1" applyProtection="1">
      <alignment horizontal="left" vertical="center"/>
      <protection locked="0"/>
    </xf>
    <xf numFmtId="0" fontId="9" fillId="2" borderId="109" xfId="3" applyNumberFormat="1" applyFont="1" applyFill="1" applyBorder="1" applyAlignment="1" applyProtection="1">
      <alignment horizontal="left" vertical="center"/>
      <protection locked="0"/>
    </xf>
    <xf numFmtId="0" fontId="9" fillId="2" borderId="110" xfId="3" applyNumberFormat="1" applyFont="1" applyFill="1" applyBorder="1" applyAlignment="1" applyProtection="1">
      <alignment horizontal="left" vertical="center"/>
      <protection locked="0"/>
    </xf>
    <xf numFmtId="182" fontId="9" fillId="2" borderId="100" xfId="3" applyNumberFormat="1" applyFont="1" applyFill="1" applyBorder="1" applyAlignment="1" applyProtection="1">
      <alignment horizontal="left" vertical="center"/>
      <protection locked="0"/>
    </xf>
    <xf numFmtId="182" fontId="9" fillId="3" borderId="100" xfId="3" applyNumberFormat="1" applyFont="1" applyFill="1" applyBorder="1" applyAlignment="1" applyProtection="1">
      <alignment horizontal="center" vertical="center"/>
      <protection locked="0"/>
    </xf>
    <xf numFmtId="182" fontId="24" fillId="2" borderId="113" xfId="3" applyNumberFormat="1" applyFont="1" applyFill="1" applyBorder="1" applyAlignment="1" applyProtection="1">
      <alignment vertical="center"/>
      <protection locked="0"/>
    </xf>
    <xf numFmtId="182" fontId="32" fillId="2" borderId="113" xfId="3" applyNumberFormat="1" applyFont="1" applyFill="1" applyBorder="1" applyAlignment="1" applyProtection="1">
      <alignment vertical="center"/>
      <protection locked="0"/>
    </xf>
    <xf numFmtId="182" fontId="9" fillId="2" borderId="85" xfId="3" applyNumberFormat="1" applyFont="1" applyFill="1" applyBorder="1" applyAlignment="1" applyProtection="1">
      <alignment vertical="center"/>
      <protection locked="0"/>
    </xf>
    <xf numFmtId="182" fontId="9" fillId="3" borderId="85" xfId="3" applyNumberFormat="1" applyFont="1" applyFill="1" applyBorder="1" applyAlignment="1" applyProtection="1">
      <alignment horizontal="center" vertical="center"/>
      <protection locked="0"/>
    </xf>
    <xf numFmtId="0" fontId="24" fillId="2" borderId="90" xfId="3" applyNumberFormat="1" applyFont="1" applyFill="1" applyBorder="1" applyAlignment="1" applyProtection="1">
      <alignment vertical="center"/>
      <protection locked="0"/>
    </xf>
    <xf numFmtId="0" fontId="24" fillId="2" borderId="113" xfId="3" applyNumberFormat="1" applyFont="1" applyFill="1" applyBorder="1" applyAlignment="1" applyProtection="1">
      <alignment vertical="center"/>
      <protection locked="0"/>
    </xf>
    <xf numFmtId="182" fontId="9" fillId="2" borderId="100" xfId="3" applyNumberFormat="1" applyFont="1" applyFill="1" applyBorder="1" applyAlignment="1" applyProtection="1">
      <alignment vertical="center"/>
      <protection locked="0"/>
    </xf>
    <xf numFmtId="0" fontId="24" fillId="2" borderId="105" xfId="3" applyNumberFormat="1" applyFont="1" applyFill="1" applyBorder="1" applyAlignment="1" applyProtection="1">
      <alignment vertical="center"/>
      <protection locked="0"/>
    </xf>
    <xf numFmtId="14" fontId="9" fillId="2" borderId="100" xfId="3" applyNumberFormat="1" applyFont="1" applyFill="1" applyBorder="1" applyAlignment="1" applyProtection="1">
      <alignment horizontal="left" vertical="center"/>
      <protection locked="0"/>
    </xf>
    <xf numFmtId="0" fontId="9" fillId="2" borderId="100" xfId="3" applyNumberFormat="1" applyFont="1" applyFill="1" applyBorder="1" applyAlignment="1" applyProtection="1">
      <alignment vertical="center"/>
      <protection locked="0"/>
    </xf>
    <xf numFmtId="0" fontId="9" fillId="3" borderId="100" xfId="3" applyFont="1" applyFill="1" applyBorder="1" applyAlignment="1" applyProtection="1">
      <alignment horizontal="center" vertical="center"/>
      <protection locked="0"/>
    </xf>
    <xf numFmtId="40" fontId="0" fillId="0" borderId="115" xfId="11" applyNumberFormat="1" applyFont="1" applyFill="1" applyBorder="1" applyAlignment="1" applyProtection="1"/>
    <xf numFmtId="40" fontId="0" fillId="2" borderId="19" xfId="2" applyNumberFormat="1" applyFont="1" applyFill="1" applyBorder="1" applyAlignment="1" applyProtection="1">
      <protection locked="0"/>
    </xf>
    <xf numFmtId="40" fontId="0" fillId="12" borderId="15" xfId="2" applyNumberFormat="1" applyFont="1" applyFill="1" applyBorder="1" applyAlignment="1" applyProtection="1">
      <protection locked="0"/>
    </xf>
    <xf numFmtId="40" fontId="0" fillId="12" borderId="2" xfId="2" applyNumberFormat="1" applyFont="1" applyFill="1" applyBorder="1" applyAlignment="1" applyProtection="1">
      <protection locked="0"/>
    </xf>
    <xf numFmtId="40" fontId="0" fillId="12" borderId="8" xfId="2" applyNumberFormat="1" applyFont="1" applyFill="1" applyBorder="1" applyAlignment="1" applyProtection="1">
      <protection locked="0"/>
    </xf>
    <xf numFmtId="40" fontId="0" fillId="12" borderId="74" xfId="2" applyNumberFormat="1" applyFont="1" applyFill="1" applyBorder="1" applyAlignment="1" applyProtection="1">
      <protection locked="0"/>
    </xf>
    <xf numFmtId="0" fontId="16" fillId="0" borderId="0" xfId="12" applyFont="1"/>
    <xf numFmtId="0" fontId="3" fillId="0" borderId="0" xfId="13" applyFont="1"/>
    <xf numFmtId="0" fontId="16" fillId="0" borderId="0" xfId="12"/>
    <xf numFmtId="0" fontId="34" fillId="0" borderId="0" xfId="12" applyFont="1" applyAlignment="1">
      <alignment shrinkToFit="1"/>
    </xf>
    <xf numFmtId="0" fontId="34" fillId="0" borderId="0" xfId="12" applyFont="1"/>
    <xf numFmtId="0" fontId="10" fillId="0" borderId="0" xfId="12" applyFont="1"/>
    <xf numFmtId="0" fontId="16" fillId="0" borderId="117" xfId="12" applyBorder="1"/>
    <xf numFmtId="0" fontId="16" fillId="0" borderId="117" xfId="12" applyFont="1" applyBorder="1"/>
    <xf numFmtId="0" fontId="10" fillId="0" borderId="117" xfId="12" applyFont="1" applyBorder="1"/>
    <xf numFmtId="0" fontId="16" fillId="0" borderId="0" xfId="12" applyFill="1" applyBorder="1"/>
    <xf numFmtId="191" fontId="16" fillId="20" borderId="117" xfId="12" applyNumberFormat="1" applyFont="1" applyFill="1" applyBorder="1" applyProtection="1">
      <protection locked="0"/>
    </xf>
    <xf numFmtId="0" fontId="16" fillId="20" borderId="117" xfId="12" applyFill="1" applyBorder="1" applyProtection="1">
      <protection locked="0"/>
    </xf>
    <xf numFmtId="0" fontId="3" fillId="0" borderId="117" xfId="12" applyFont="1" applyBorder="1"/>
    <xf numFmtId="192" fontId="16" fillId="20" borderId="117" xfId="12" applyNumberFormat="1" applyFill="1" applyBorder="1" applyProtection="1">
      <protection locked="0"/>
    </xf>
    <xf numFmtId="193" fontId="16" fillId="20" borderId="117" xfId="12" applyNumberFormat="1" applyFill="1" applyBorder="1" applyAlignment="1" applyProtection="1">
      <protection locked="0"/>
    </xf>
    <xf numFmtId="191" fontId="16" fillId="21" borderId="117" xfId="12" applyNumberFormat="1" applyFill="1" applyBorder="1" applyProtection="1"/>
    <xf numFmtId="0" fontId="16" fillId="0" borderId="0" xfId="12" applyFill="1" applyBorder="1" applyProtection="1">
      <protection locked="0"/>
    </xf>
    <xf numFmtId="0" fontId="16" fillId="0" borderId="0" xfId="12" applyFill="1" applyBorder="1" applyAlignment="1">
      <alignment horizontal="center"/>
    </xf>
    <xf numFmtId="0" fontId="16" fillId="0" borderId="0" xfId="12" applyBorder="1"/>
    <xf numFmtId="191" fontId="16" fillId="21" borderId="117" xfId="12" applyNumberFormat="1" applyFill="1" applyBorder="1"/>
    <xf numFmtId="0" fontId="16" fillId="0" borderId="0" xfId="12" applyFont="1" applyFill="1" applyBorder="1"/>
    <xf numFmtId="0" fontId="34" fillId="0" borderId="0" xfId="12" applyFont="1" applyFill="1" applyBorder="1" applyProtection="1">
      <protection locked="0"/>
    </xf>
    <xf numFmtId="0" fontId="3" fillId="0" borderId="0" xfId="12" applyFont="1" applyBorder="1" applyAlignment="1">
      <alignment horizontal="center"/>
    </xf>
    <xf numFmtId="0" fontId="34" fillId="0" borderId="0" xfId="12" applyFont="1" applyBorder="1" applyAlignment="1" applyProtection="1">
      <alignment horizontal="center"/>
      <protection locked="0"/>
    </xf>
    <xf numFmtId="0" fontId="0" fillId="0" borderId="117" xfId="0" applyBorder="1" applyAlignment="1">
      <alignment horizontal="center"/>
    </xf>
    <xf numFmtId="0" fontId="0" fillId="12" borderId="117" xfId="0" applyFill="1" applyBorder="1"/>
    <xf numFmtId="0" fontId="0" fillId="0" borderId="117" xfId="0" applyBorder="1"/>
    <xf numFmtId="0" fontId="0" fillId="7" borderId="117" xfId="0" applyFill="1" applyBorder="1"/>
    <xf numFmtId="0" fontId="0" fillId="22" borderId="117" xfId="0" applyFill="1" applyBorder="1"/>
    <xf numFmtId="0" fontId="0" fillId="23" borderId="117" xfId="0" applyFill="1" applyBorder="1"/>
    <xf numFmtId="0" fontId="0" fillId="0" borderId="0" xfId="0" applyFont="1"/>
    <xf numFmtId="197" fontId="0" fillId="0" borderId="0" xfId="0" applyNumberFormat="1"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33" fillId="0" borderId="0" xfId="0" applyFont="1"/>
    <xf numFmtId="38" fontId="23" fillId="0" borderId="0" xfId="6" applyNumberFormat="1" applyFont="1" applyBorder="1" applyAlignment="1" applyProtection="1">
      <alignment horizontal="left" vertical="center" shrinkToFit="1"/>
    </xf>
    <xf numFmtId="0" fontId="23" fillId="0" borderId="11" xfId="6" applyFont="1" applyBorder="1" applyAlignment="1" applyProtection="1">
      <alignment vertical="center" shrinkToFit="1"/>
    </xf>
    <xf numFmtId="185" fontId="16" fillId="0" borderId="139" xfId="2" applyNumberFormat="1" applyFont="1" applyFill="1" applyBorder="1" applyAlignment="1" applyProtection="1">
      <alignment vertical="center"/>
    </xf>
    <xf numFmtId="185" fontId="16" fillId="0" borderId="140" xfId="2" applyNumberFormat="1" applyFont="1" applyFill="1" applyBorder="1" applyAlignment="1" applyProtection="1">
      <alignment vertical="center"/>
    </xf>
    <xf numFmtId="0" fontId="16" fillId="0" borderId="142" xfId="6" applyFont="1" applyBorder="1" applyAlignment="1" applyProtection="1">
      <alignment horizontal="justify" vertical="center" indent="1" shrinkToFit="1"/>
    </xf>
    <xf numFmtId="0" fontId="0" fillId="0" borderId="142" xfId="6" applyFont="1" applyBorder="1" applyAlignment="1" applyProtection="1">
      <alignment horizontal="justify" vertical="center" indent="1" shrinkToFit="1"/>
    </xf>
    <xf numFmtId="185" fontId="16" fillId="0" borderId="143" xfId="2" applyNumberFormat="1" applyFont="1" applyFill="1" applyBorder="1" applyAlignment="1" applyProtection="1">
      <alignment vertical="center"/>
    </xf>
    <xf numFmtId="185" fontId="16" fillId="0" borderId="144" xfId="2" applyNumberFormat="1" applyFont="1" applyFill="1" applyBorder="1" applyAlignment="1" applyProtection="1">
      <alignment vertical="center"/>
    </xf>
    <xf numFmtId="185" fontId="16" fillId="0" borderId="145" xfId="2" applyNumberFormat="1" applyFont="1" applyFill="1" applyBorder="1" applyAlignment="1" applyProtection="1">
      <alignment vertical="center"/>
    </xf>
    <xf numFmtId="185" fontId="16" fillId="0" borderId="146" xfId="2" applyNumberFormat="1" applyFont="1" applyFill="1" applyBorder="1" applyAlignment="1" applyProtection="1">
      <alignment vertical="center"/>
    </xf>
    <xf numFmtId="185" fontId="16" fillId="0" borderId="147" xfId="2" applyNumberFormat="1" applyFont="1" applyFill="1" applyBorder="1" applyAlignment="1" applyProtection="1">
      <alignment vertical="center"/>
    </xf>
    <xf numFmtId="185" fontId="16" fillId="0" borderId="148" xfId="2" applyNumberFormat="1" applyFont="1" applyFill="1" applyBorder="1" applyAlignment="1" applyProtection="1">
      <alignment vertical="center"/>
    </xf>
    <xf numFmtId="0" fontId="0" fillId="8" borderId="2" xfId="0" applyFill="1" applyBorder="1" applyAlignment="1">
      <alignment horizontal="center" vertical="center"/>
    </xf>
    <xf numFmtId="187" fontId="23" fillId="0" borderId="63" xfId="6" applyNumberFormat="1" applyFont="1" applyBorder="1" applyAlignment="1" applyProtection="1">
      <alignment vertical="center" shrinkToFit="1"/>
    </xf>
    <xf numFmtId="187" fontId="23" fillId="0" borderId="11" xfId="6" applyNumberFormat="1" applyFont="1" applyBorder="1" applyAlignment="1" applyProtection="1">
      <alignment vertical="center" shrinkToFit="1"/>
    </xf>
    <xf numFmtId="3" fontId="23" fillId="12" borderId="23" xfId="7" applyNumberFormat="1" applyFont="1" applyFill="1" applyBorder="1" applyAlignment="1" applyProtection="1">
      <alignment vertical="center" shrinkToFit="1"/>
      <protection locked="0"/>
    </xf>
    <xf numFmtId="3" fontId="23" fillId="12" borderId="23" xfId="7" applyNumberFormat="1" applyFont="1" applyFill="1" applyBorder="1" applyAlignment="1" applyProtection="1">
      <alignment vertical="center"/>
      <protection locked="0"/>
    </xf>
    <xf numFmtId="40" fontId="0" fillId="0" borderId="0" xfId="2" applyNumberFormat="1" applyFont="1" applyFill="1" applyBorder="1" applyAlignment="1" applyProtection="1"/>
    <xf numFmtId="179" fontId="0" fillId="0" borderId="0" xfId="2" applyNumberFormat="1" applyFont="1" applyFill="1" applyBorder="1" applyAlignment="1" applyProtection="1"/>
    <xf numFmtId="0" fontId="0" fillId="0" borderId="0" xfId="0" applyAlignment="1" applyProtection="1">
      <alignment shrinkToFit="1"/>
    </xf>
    <xf numFmtId="40" fontId="0" fillId="12" borderId="36" xfId="2" applyNumberFormat="1" applyFont="1" applyFill="1" applyBorder="1" applyAlignment="1" applyProtection="1">
      <alignment horizontal="center" vertical="center" wrapText="1"/>
    </xf>
    <xf numFmtId="40" fontId="0" fillId="2" borderId="116" xfId="11" applyNumberFormat="1" applyFont="1" applyFill="1" applyBorder="1" applyAlignment="1" applyProtection="1">
      <alignment horizontal="center" vertical="center" wrapText="1"/>
    </xf>
    <xf numFmtId="40" fontId="0" fillId="2" borderId="36" xfId="2" applyNumberFormat="1" applyFont="1" applyFill="1" applyBorder="1" applyAlignment="1" applyProtection="1">
      <alignment horizontal="center" vertical="center" wrapText="1"/>
    </xf>
    <xf numFmtId="0" fontId="9" fillId="16" borderId="114" xfId="3" applyNumberFormat="1" applyFont="1" applyFill="1" applyBorder="1" applyAlignment="1" applyProtection="1">
      <alignment horizontal="left" vertical="center"/>
    </xf>
    <xf numFmtId="0" fontId="9" fillId="15" borderId="94" xfId="3" applyNumberFormat="1" applyFont="1" applyFill="1" applyBorder="1" applyAlignment="1" applyProtection="1">
      <alignment horizontal="center" vertical="center"/>
    </xf>
    <xf numFmtId="3" fontId="23" fillId="16" borderId="94" xfId="3" applyNumberFormat="1" applyFont="1" applyFill="1" applyBorder="1" applyAlignment="1" applyProtection="1">
      <alignment horizontal="center" vertical="center"/>
    </xf>
    <xf numFmtId="9" fontId="23" fillId="16" borderId="94" xfId="1" applyNumberFormat="1" applyFont="1" applyFill="1" applyBorder="1" applyAlignment="1" applyProtection="1">
      <alignment horizontal="center" vertical="center"/>
    </xf>
    <xf numFmtId="38" fontId="23" fillId="16" borderId="94" xfId="2" applyFont="1" applyFill="1" applyBorder="1" applyAlignment="1" applyProtection="1">
      <alignment vertical="center"/>
    </xf>
    <xf numFmtId="38" fontId="23" fillId="15" borderId="94" xfId="2" applyFont="1" applyFill="1" applyBorder="1" applyAlignment="1" applyProtection="1">
      <alignment horizontal="center" vertical="center"/>
    </xf>
    <xf numFmtId="38" fontId="23" fillId="17" borderId="94" xfId="2" applyFont="1" applyFill="1" applyBorder="1" applyAlignment="1" applyProtection="1">
      <alignment vertical="center"/>
    </xf>
    <xf numFmtId="38" fontId="23" fillId="16" borderId="95" xfId="2" applyFont="1" applyFill="1" applyBorder="1" applyAlignment="1" applyProtection="1">
      <alignment vertical="center"/>
    </xf>
    <xf numFmtId="9" fontId="23" fillId="16" borderId="96" xfId="1" applyFont="1" applyFill="1" applyBorder="1" applyAlignment="1" applyProtection="1">
      <alignment vertical="center"/>
    </xf>
    <xf numFmtId="9" fontId="23" fillId="16" borderId="94" xfId="1" applyFont="1" applyFill="1" applyBorder="1" applyAlignment="1" applyProtection="1">
      <alignment vertical="center"/>
    </xf>
    <xf numFmtId="9" fontId="23" fillId="16" borderId="97" xfId="1" applyFont="1" applyFill="1" applyBorder="1" applyAlignment="1" applyProtection="1">
      <alignment vertical="center"/>
    </xf>
    <xf numFmtId="181" fontId="23" fillId="18" borderId="98" xfId="3" applyNumberFormat="1" applyFont="1" applyFill="1" applyBorder="1" applyAlignment="1" applyProtection="1">
      <alignment vertical="center"/>
    </xf>
    <xf numFmtId="181" fontId="23" fillId="18" borderId="94" xfId="3" applyNumberFormat="1" applyFont="1" applyFill="1" applyBorder="1" applyAlignment="1" applyProtection="1">
      <alignment vertical="center"/>
    </xf>
    <xf numFmtId="181" fontId="23" fillId="18" borderId="95" xfId="3" applyNumberFormat="1" applyFont="1" applyFill="1" applyBorder="1" applyAlignment="1" applyProtection="1">
      <alignment vertical="center"/>
    </xf>
    <xf numFmtId="182" fontId="24" fillId="16" borderId="99" xfId="3" applyNumberFormat="1" applyFont="1" applyFill="1" applyBorder="1" applyAlignment="1" applyProtection="1">
      <alignment vertical="center"/>
    </xf>
    <xf numFmtId="0" fontId="10" fillId="0" borderId="0" xfId="3" applyNumberFormat="1" applyFont="1" applyBorder="1" applyAlignment="1" applyProtection="1">
      <alignment horizontal="left" vertical="center"/>
    </xf>
    <xf numFmtId="0" fontId="16" fillId="0" borderId="0" xfId="3" applyNumberFormat="1" applyFont="1" applyBorder="1" applyProtection="1"/>
    <xf numFmtId="180" fontId="16" fillId="0" borderId="0" xfId="3" applyNumberFormat="1" applyFont="1" applyFill="1" applyBorder="1" applyProtection="1"/>
    <xf numFmtId="180" fontId="9" fillId="0" borderId="0" xfId="3" applyNumberFormat="1" applyFont="1" applyFill="1" applyBorder="1" applyProtection="1"/>
    <xf numFmtId="38" fontId="24" fillId="0" borderId="0" xfId="2" applyFont="1" applyFill="1" applyBorder="1" applyAlignment="1" applyProtection="1">
      <alignment horizontal="right"/>
    </xf>
    <xf numFmtId="38" fontId="24" fillId="0" borderId="0" xfId="2" applyFont="1" applyFill="1" applyBorder="1" applyAlignment="1" applyProtection="1">
      <alignment horizontal="center"/>
    </xf>
    <xf numFmtId="9" fontId="24" fillId="0" borderId="0" xfId="1" applyFont="1" applyFill="1" applyBorder="1" applyAlignment="1" applyProtection="1">
      <alignment horizontal="right"/>
    </xf>
    <xf numFmtId="0" fontId="24" fillId="0" borderId="0" xfId="3" applyNumberFormat="1" applyFont="1" applyBorder="1" applyProtection="1"/>
    <xf numFmtId="0" fontId="15" fillId="0" borderId="0" xfId="3" applyFont="1" applyAlignment="1" applyProtection="1">
      <alignment vertical="center"/>
    </xf>
    <xf numFmtId="182" fontId="9" fillId="0" borderId="85" xfId="3" applyNumberFormat="1" applyFont="1" applyFill="1" applyBorder="1" applyAlignment="1" applyProtection="1">
      <alignment vertical="center"/>
    </xf>
    <xf numFmtId="181" fontId="23" fillId="0" borderId="85" xfId="3" applyNumberFormat="1" applyFont="1" applyFill="1" applyBorder="1" applyAlignment="1" applyProtection="1">
      <alignment vertical="center"/>
    </xf>
    <xf numFmtId="182" fontId="9" fillId="0" borderId="47" xfId="3" applyNumberFormat="1" applyFont="1" applyFill="1" applyBorder="1" applyAlignment="1" applyProtection="1">
      <alignment vertical="center"/>
    </xf>
    <xf numFmtId="181" fontId="23" fillId="0" borderId="47" xfId="3" applyNumberFormat="1" applyFont="1" applyFill="1" applyBorder="1" applyAlignment="1" applyProtection="1">
      <alignment vertical="center"/>
    </xf>
    <xf numFmtId="181" fontId="23" fillId="0" borderId="100" xfId="3" applyNumberFormat="1" applyFont="1" applyFill="1" applyBorder="1" applyAlignment="1" applyProtection="1">
      <alignment vertical="center"/>
    </xf>
    <xf numFmtId="182" fontId="9" fillId="0" borderId="85" xfId="3" applyNumberFormat="1" applyFont="1" applyFill="1" applyBorder="1" applyAlignment="1" applyProtection="1">
      <alignment horizontal="center" vertical="center"/>
    </xf>
    <xf numFmtId="182" fontId="9" fillId="0" borderId="47" xfId="3" applyNumberFormat="1" applyFont="1" applyFill="1" applyBorder="1" applyAlignment="1" applyProtection="1">
      <alignment horizontal="center" vertical="center"/>
    </xf>
    <xf numFmtId="0" fontId="9" fillId="0" borderId="85"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horizontal="left" vertical="center"/>
    </xf>
    <xf numFmtId="0" fontId="9" fillId="0" borderId="47" xfId="3" applyNumberFormat="1" applyFont="1" applyFill="1" applyBorder="1" applyAlignment="1" applyProtection="1">
      <alignment vertical="center"/>
    </xf>
    <xf numFmtId="0" fontId="23" fillId="12" borderId="6" xfId="0" applyFont="1" applyFill="1" applyBorder="1" applyAlignment="1" applyProtection="1">
      <alignment vertical="top" shrinkToFit="1"/>
      <protection locked="0"/>
    </xf>
    <xf numFmtId="0" fontId="23" fillId="12" borderId="7" xfId="0" applyFont="1" applyFill="1" applyBorder="1" applyAlignment="1" applyProtection="1">
      <alignment vertical="top" shrinkToFit="1"/>
      <protection locked="0"/>
    </xf>
    <xf numFmtId="0" fontId="23" fillId="12" borderId="8" xfId="0" applyFont="1" applyFill="1" applyBorder="1" applyAlignment="1" applyProtection="1">
      <alignment vertical="top" shrinkToFit="1"/>
      <protection locked="0"/>
    </xf>
    <xf numFmtId="0" fontId="23" fillId="12" borderId="10" xfId="0" applyFont="1" applyFill="1" applyBorder="1" applyAlignment="1" applyProtection="1">
      <alignment vertical="top" shrinkToFit="1"/>
      <protection locked="0"/>
    </xf>
    <xf numFmtId="0" fontId="23" fillId="12" borderId="11" xfId="0" applyFont="1" applyFill="1" applyBorder="1" applyAlignment="1" applyProtection="1">
      <alignment vertical="top" shrinkToFit="1"/>
      <protection locked="0"/>
    </xf>
    <xf numFmtId="0" fontId="23" fillId="12" borderId="9" xfId="0" applyFont="1" applyFill="1" applyBorder="1" applyAlignment="1" applyProtection="1">
      <alignment vertical="center" shrinkToFit="1"/>
      <protection locked="0"/>
    </xf>
    <xf numFmtId="0" fontId="0" fillId="12" borderId="10" xfId="0" applyFont="1" applyFill="1" applyBorder="1" applyAlignment="1" applyProtection="1">
      <alignment vertical="center" shrinkToFit="1"/>
      <protection locked="0"/>
    </xf>
    <xf numFmtId="0" fontId="0" fillId="12" borderId="15" xfId="0" applyFont="1" applyFill="1" applyBorder="1" applyAlignment="1" applyProtection="1">
      <alignment vertical="center" shrinkToFit="1"/>
      <protection locked="0"/>
    </xf>
    <xf numFmtId="0" fontId="0" fillId="12" borderId="2" xfId="0" applyFont="1" applyFill="1" applyBorder="1" applyAlignment="1" applyProtection="1">
      <alignment horizontal="center" vertical="center"/>
      <protection locked="0"/>
    </xf>
    <xf numFmtId="176" fontId="0" fillId="12" borderId="2" xfId="0" applyNumberFormat="1" applyFont="1" applyFill="1" applyBorder="1" applyAlignment="1" applyProtection="1">
      <alignment horizontal="center" vertical="center"/>
      <protection locked="0"/>
    </xf>
    <xf numFmtId="195" fontId="11" fillId="0" borderId="56" xfId="2" applyNumberFormat="1" applyFont="1" applyFill="1" applyBorder="1" applyAlignment="1" applyProtection="1">
      <alignment vertical="center" shrinkToFit="1"/>
    </xf>
    <xf numFmtId="195" fontId="11" fillId="0" borderId="32" xfId="2" applyNumberFormat="1" applyFont="1" applyFill="1" applyBorder="1" applyAlignment="1" applyProtection="1">
      <alignment vertical="center" shrinkToFit="1"/>
    </xf>
    <xf numFmtId="195" fontId="11" fillId="0" borderId="33" xfId="2" applyNumberFormat="1" applyFont="1" applyFill="1" applyBorder="1" applyAlignment="1" applyProtection="1">
      <alignment vertical="center" shrinkToFit="1"/>
    </xf>
    <xf numFmtId="195" fontId="11" fillId="0" borderId="6" xfId="2" applyNumberFormat="1" applyFont="1" applyFill="1" applyBorder="1" applyAlignment="1" applyProtection="1">
      <alignment vertical="center"/>
    </xf>
    <xf numFmtId="195" fontId="11" fillId="0" borderId="47" xfId="2" applyNumberFormat="1" applyFont="1" applyFill="1" applyBorder="1" applyAlignment="1" applyProtection="1">
      <alignment vertical="center" shrinkToFit="1"/>
    </xf>
    <xf numFmtId="195" fontId="11" fillId="0" borderId="51" xfId="2" applyNumberFormat="1" applyFont="1" applyFill="1" applyBorder="1" applyAlignment="1" applyProtection="1">
      <alignment vertical="center" shrinkToFit="1"/>
    </xf>
    <xf numFmtId="195" fontId="11" fillId="0" borderId="81" xfId="2" applyNumberFormat="1" applyFont="1" applyFill="1" applyBorder="1" applyAlignment="1" applyProtection="1">
      <alignment vertical="center" shrinkToFit="1"/>
    </xf>
    <xf numFmtId="195" fontId="11" fillId="0" borderId="10" xfId="2" applyNumberFormat="1" applyFont="1" applyFill="1" applyBorder="1" applyAlignment="1" applyProtection="1">
      <alignment vertical="center"/>
    </xf>
    <xf numFmtId="195" fontId="11" fillId="0" borderId="68" xfId="2" applyNumberFormat="1" applyFont="1" applyFill="1" applyBorder="1" applyAlignment="1" applyProtection="1">
      <alignment vertical="center"/>
    </xf>
    <xf numFmtId="195" fontId="11" fillId="0" borderId="57" xfId="2" applyNumberFormat="1" applyFont="1" applyFill="1" applyBorder="1" applyAlignment="1" applyProtection="1">
      <alignment vertical="center" shrinkToFit="1"/>
    </xf>
    <xf numFmtId="195" fontId="11" fillId="0" borderId="34" xfId="2" applyNumberFormat="1" applyFont="1" applyFill="1" applyBorder="1" applyAlignment="1" applyProtection="1">
      <alignment vertical="center" shrinkToFit="1"/>
    </xf>
    <xf numFmtId="195" fontId="11" fillId="0" borderId="58" xfId="2" applyNumberFormat="1" applyFont="1" applyFill="1" applyBorder="1" applyAlignment="1" applyProtection="1">
      <alignment vertical="center" shrinkToFit="1"/>
    </xf>
    <xf numFmtId="195" fontId="11" fillId="0" borderId="28" xfId="2" applyNumberFormat="1" applyFont="1" applyFill="1" applyBorder="1" applyAlignment="1" applyProtection="1">
      <alignment vertical="center" shrinkToFit="1"/>
    </xf>
    <xf numFmtId="195" fontId="11" fillId="0" borderId="8" xfId="2" applyNumberFormat="1" applyFont="1" applyFill="1" applyBorder="1" applyAlignment="1" applyProtection="1">
      <alignment vertical="center"/>
    </xf>
    <xf numFmtId="195" fontId="11" fillId="0" borderId="46" xfId="2" applyNumberFormat="1" applyFont="1" applyFill="1" applyBorder="1" applyAlignment="1" applyProtection="1">
      <alignment vertical="center" shrinkToFit="1"/>
    </xf>
    <xf numFmtId="195" fontId="11" fillId="0" borderId="42" xfId="2" applyNumberFormat="1" applyFont="1" applyFill="1" applyBorder="1" applyAlignment="1" applyProtection="1">
      <alignment vertical="center" shrinkToFit="1"/>
    </xf>
    <xf numFmtId="195" fontId="11" fillId="0" borderId="24" xfId="2" applyNumberFormat="1" applyFont="1" applyFill="1" applyBorder="1" applyAlignment="1" applyProtection="1">
      <alignment vertical="center" shrinkToFit="1"/>
    </xf>
    <xf numFmtId="195" fontId="11" fillId="0" borderId="12" xfId="2" applyNumberFormat="1" applyFont="1" applyFill="1" applyBorder="1" applyAlignment="1" applyProtection="1">
      <alignment vertical="center" shrinkToFit="1"/>
    </xf>
    <xf numFmtId="198" fontId="23" fillId="0" borderId="24" xfId="7" applyNumberFormat="1" applyFont="1" applyBorder="1" applyAlignment="1" applyProtection="1">
      <alignment vertical="center"/>
    </xf>
    <xf numFmtId="198" fontId="23" fillId="0" borderId="23" xfId="2" applyNumberFormat="1" applyFont="1" applyFill="1" applyBorder="1" applyAlignment="1" applyProtection="1">
      <alignment vertical="center"/>
    </xf>
    <xf numFmtId="198" fontId="23" fillId="0" borderId="23" xfId="1" applyNumberFormat="1" applyFont="1" applyFill="1" applyBorder="1" applyAlignment="1" applyProtection="1">
      <alignment vertical="center"/>
    </xf>
    <xf numFmtId="198" fontId="23" fillId="0" borderId="15" xfId="7" applyNumberFormat="1" applyFont="1" applyBorder="1" applyAlignment="1" applyProtection="1">
      <alignment vertical="center"/>
    </xf>
    <xf numFmtId="198" fontId="23" fillId="0" borderId="22" xfId="1" applyNumberFormat="1" applyFont="1" applyFill="1" applyBorder="1" applyAlignment="1" applyProtection="1">
      <alignment vertical="center"/>
    </xf>
    <xf numFmtId="198" fontId="23" fillId="0" borderId="26" xfId="7" applyNumberFormat="1" applyFont="1" applyBorder="1" applyAlignment="1" applyProtection="1">
      <alignment vertical="center"/>
    </xf>
    <xf numFmtId="198" fontId="23" fillId="0" borderId="24" xfId="1" applyNumberFormat="1" applyFont="1" applyFill="1" applyBorder="1" applyAlignment="1" applyProtection="1">
      <alignment vertical="center"/>
    </xf>
    <xf numFmtId="198" fontId="23" fillId="0" borderId="22" xfId="7" applyNumberFormat="1" applyFont="1" applyBorder="1" applyAlignment="1" applyProtection="1">
      <alignment vertical="center"/>
    </xf>
    <xf numFmtId="198" fontId="23" fillId="0" borderId="12" xfId="7" applyNumberFormat="1" applyFont="1" applyBorder="1" applyAlignment="1" applyProtection="1">
      <alignment vertical="center"/>
    </xf>
    <xf numFmtId="198" fontId="23" fillId="0" borderId="4" xfId="7" applyNumberFormat="1" applyFont="1" applyBorder="1" applyAlignment="1" applyProtection="1">
      <alignment vertical="center"/>
    </xf>
    <xf numFmtId="198" fontId="23" fillId="0" borderId="23" xfId="7" applyNumberFormat="1" applyFont="1" applyBorder="1" applyAlignment="1" applyProtection="1">
      <alignment vertical="center"/>
    </xf>
    <xf numFmtId="198" fontId="23" fillId="0" borderId="23" xfId="7" applyNumberFormat="1" applyFont="1" applyBorder="1" applyAlignment="1" applyProtection="1">
      <alignment horizontal="right" vertical="center"/>
    </xf>
    <xf numFmtId="198" fontId="23" fillId="0" borderId="7" xfId="7" applyNumberFormat="1" applyFont="1" applyBorder="1" applyAlignment="1" applyProtection="1">
      <alignment vertical="center"/>
    </xf>
    <xf numFmtId="198" fontId="23" fillId="0" borderId="2" xfId="7" applyNumberFormat="1" applyFont="1" applyBorder="1" applyAlignment="1" applyProtection="1">
      <alignment vertical="center"/>
    </xf>
    <xf numFmtId="199" fontId="0" fillId="0" borderId="15" xfId="2" applyNumberFormat="1" applyFont="1" applyFill="1" applyBorder="1" applyAlignment="1" applyProtection="1"/>
    <xf numFmtId="199" fontId="0" fillId="0" borderId="19" xfId="2" applyNumberFormat="1" applyFont="1" applyFill="1" applyBorder="1" applyAlignment="1" applyProtection="1"/>
    <xf numFmtId="199" fontId="0" fillId="0" borderId="2" xfId="2" applyNumberFormat="1" applyFont="1" applyFill="1" applyBorder="1" applyAlignment="1" applyProtection="1"/>
    <xf numFmtId="199" fontId="0" fillId="0" borderId="74" xfId="2" applyNumberFormat="1" applyFont="1" applyFill="1" applyBorder="1" applyAlignment="1" applyProtection="1"/>
    <xf numFmtId="0" fontId="23" fillId="9" borderId="27" xfId="7" applyFont="1" applyFill="1" applyBorder="1" applyProtection="1"/>
    <xf numFmtId="0" fontId="0" fillId="13" borderId="2" xfId="0" applyFont="1" applyFill="1" applyBorder="1" applyAlignment="1" applyProtection="1">
      <alignment horizontal="center" vertical="center"/>
      <protection locked="0"/>
    </xf>
    <xf numFmtId="0" fontId="0" fillId="0" borderId="0" xfId="0" applyFont="1" applyAlignment="1">
      <alignment vertical="center"/>
    </xf>
    <xf numFmtId="0" fontId="9" fillId="3" borderId="85" xfId="3" applyFont="1" applyFill="1" applyBorder="1" applyAlignment="1" applyProtection="1">
      <alignment horizontal="center" vertical="center"/>
      <protection locked="0"/>
    </xf>
    <xf numFmtId="185" fontId="16" fillId="0" borderId="10" xfId="2" applyNumberFormat="1" applyFont="1" applyFill="1" applyBorder="1" applyAlignment="1" applyProtection="1">
      <alignment vertical="center"/>
    </xf>
    <xf numFmtId="185" fontId="16" fillId="0" borderId="141" xfId="2" applyNumberFormat="1" applyFont="1" applyFill="1" applyBorder="1" applyAlignment="1" applyProtection="1">
      <alignment vertical="center"/>
    </xf>
    <xf numFmtId="0" fontId="16" fillId="0" borderId="137" xfId="6" applyFont="1" applyBorder="1" applyAlignment="1" applyProtection="1">
      <alignment horizontal="justify" vertical="center" indent="1" shrinkToFit="1"/>
    </xf>
    <xf numFmtId="200" fontId="24" fillId="0" borderId="0" xfId="3" applyNumberFormat="1" applyFont="1" applyFill="1" applyBorder="1" applyProtection="1"/>
    <xf numFmtId="200" fontId="23" fillId="2" borderId="85" xfId="3" applyNumberFormat="1" applyFont="1" applyFill="1" applyBorder="1" applyAlignment="1" applyProtection="1">
      <alignment vertical="center"/>
      <protection locked="0"/>
    </xf>
    <xf numFmtId="200" fontId="23" fillId="2" borderId="47" xfId="3" applyNumberFormat="1" applyFont="1" applyFill="1" applyBorder="1" applyAlignment="1" applyProtection="1">
      <alignment vertical="center"/>
      <protection locked="0"/>
    </xf>
    <xf numFmtId="200" fontId="23" fillId="2" borderId="100" xfId="3" applyNumberFormat="1" applyFont="1" applyFill="1" applyBorder="1" applyAlignment="1" applyProtection="1">
      <alignment vertical="center"/>
      <protection locked="0"/>
    </xf>
    <xf numFmtId="200" fontId="23" fillId="16" borderId="94" xfId="3" applyNumberFormat="1" applyFont="1" applyFill="1" applyBorder="1" applyAlignment="1" applyProtection="1">
      <alignment vertical="center"/>
    </xf>
    <xf numFmtId="200" fontId="23" fillId="2" borderId="42" xfId="3" applyNumberFormat="1" applyFont="1" applyFill="1" applyBorder="1" applyAlignment="1" applyProtection="1">
      <alignment vertical="center"/>
      <protection locked="0"/>
    </xf>
    <xf numFmtId="200" fontId="30" fillId="2" borderId="47" xfId="3" applyNumberFormat="1" applyFont="1" applyFill="1" applyBorder="1" applyAlignment="1" applyProtection="1">
      <alignment vertical="center"/>
      <protection locked="0"/>
    </xf>
    <xf numFmtId="0" fontId="23" fillId="0" borderId="22" xfId="7" applyFont="1" applyBorder="1" applyAlignment="1" applyProtection="1">
      <alignment vertical="center"/>
    </xf>
    <xf numFmtId="0" fontId="23" fillId="0" borderId="22" xfId="7" applyFont="1" applyBorder="1" applyAlignment="1" applyProtection="1">
      <alignment horizontal="center" vertical="center"/>
    </xf>
    <xf numFmtId="9" fontId="23" fillId="0" borderId="22" xfId="1" applyFont="1" applyFill="1" applyBorder="1" applyAlignment="1" applyProtection="1">
      <alignment vertical="center"/>
    </xf>
    <xf numFmtId="9" fontId="23" fillId="0" borderId="15" xfId="1" applyFont="1" applyFill="1" applyBorder="1" applyAlignment="1" applyProtection="1">
      <alignment vertical="center"/>
    </xf>
    <xf numFmtId="38" fontId="23" fillId="0" borderId="15" xfId="2" applyFont="1" applyFill="1" applyBorder="1" applyAlignment="1" applyProtection="1">
      <alignment horizontal="right" vertical="center" shrinkToFit="1"/>
    </xf>
    <xf numFmtId="178" fontId="23" fillId="0" borderId="22" xfId="7" applyNumberFormat="1" applyFont="1" applyBorder="1" applyAlignment="1" applyProtection="1">
      <alignment horizontal="center" vertical="center"/>
    </xf>
    <xf numFmtId="3" fontId="13" fillId="0" borderId="15" xfId="7" applyNumberFormat="1" applyFont="1" applyBorder="1" applyAlignment="1" applyProtection="1">
      <alignment vertical="center"/>
    </xf>
    <xf numFmtId="0" fontId="23" fillId="0" borderId="15" xfId="2" applyNumberFormat="1" applyFont="1" applyFill="1" applyBorder="1" applyAlignment="1" applyProtection="1">
      <alignment horizontal="right" vertical="center" shrinkToFit="1"/>
    </xf>
    <xf numFmtId="9" fontId="23" fillId="0" borderId="22" xfId="7" applyNumberFormat="1" applyFont="1" applyBorder="1" applyAlignment="1" applyProtection="1">
      <alignment vertical="center"/>
    </xf>
    <xf numFmtId="38" fontId="23" fillId="0" borderId="22" xfId="2" applyFont="1" applyFill="1" applyBorder="1" applyAlignment="1" applyProtection="1">
      <alignment horizontal="center" vertical="center"/>
    </xf>
    <xf numFmtId="0" fontId="23" fillId="0" borderId="21" xfId="7" applyFont="1" applyBorder="1" applyProtection="1"/>
    <xf numFmtId="0" fontId="23" fillId="0" borderId="2" xfId="7" applyFont="1" applyBorder="1" applyAlignment="1" applyProtection="1">
      <alignment vertical="center"/>
    </xf>
    <xf numFmtId="0" fontId="16" fillId="0" borderId="0" xfId="7" applyFont="1" applyAlignment="1" applyProtection="1">
      <alignment vertical="center"/>
    </xf>
    <xf numFmtId="0" fontId="0" fillId="0" borderId="0" xfId="0" applyAlignment="1" applyProtection="1">
      <alignment horizontal="center" vertical="center" wrapText="1"/>
    </xf>
    <xf numFmtId="0" fontId="0" fillId="0" borderId="0" xfId="0" applyAlignment="1" applyProtection="1">
      <alignment vertical="center"/>
    </xf>
    <xf numFmtId="0" fontId="5" fillId="0" borderId="0" xfId="0" applyFont="1" applyAlignment="1" applyProtection="1">
      <alignment horizontal="left" vertical="center"/>
    </xf>
    <xf numFmtId="0" fontId="4" fillId="0" borderId="58" xfId="0" applyFont="1" applyFill="1" applyBorder="1" applyAlignment="1" applyProtection="1">
      <alignment horizontal="center" vertical="center"/>
    </xf>
    <xf numFmtId="0" fontId="4" fillId="0" borderId="0" xfId="0" applyFont="1" applyFill="1" applyProtection="1"/>
    <xf numFmtId="0" fontId="4" fillId="0" borderId="42" xfId="0" applyFont="1" applyFill="1" applyBorder="1" applyAlignment="1" applyProtection="1">
      <alignment horizontal="center" vertical="center"/>
    </xf>
    <xf numFmtId="0" fontId="4" fillId="0" borderId="59" xfId="0" applyFont="1" applyBorder="1" applyAlignment="1" applyProtection="1">
      <alignment horizontal="center" vertical="center"/>
    </xf>
    <xf numFmtId="0" fontId="22" fillId="24" borderId="124" xfId="0" applyFont="1" applyFill="1" applyBorder="1" applyAlignment="1" applyProtection="1">
      <alignment horizontal="center" vertical="center"/>
    </xf>
    <xf numFmtId="0" fontId="23" fillId="0" borderId="0" xfId="0" applyFont="1" applyAlignment="1" applyProtection="1">
      <alignment vertical="center"/>
    </xf>
    <xf numFmtId="195" fontId="23" fillId="0" borderId="0" xfId="0" applyNumberFormat="1" applyFont="1" applyProtection="1"/>
    <xf numFmtId="0" fontId="23" fillId="0" borderId="129" xfId="0" applyFont="1" applyBorder="1" applyAlignment="1" applyProtection="1">
      <alignment horizontal="center" vertical="center" shrinkToFit="1"/>
    </xf>
    <xf numFmtId="0" fontId="0" fillId="0" borderId="0" xfId="0" applyFont="1" applyProtection="1"/>
    <xf numFmtId="196" fontId="0" fillId="0" borderId="0" xfId="0" applyNumberFormat="1" applyFont="1" applyProtection="1"/>
    <xf numFmtId="200" fontId="16" fillId="0" borderId="0" xfId="0" applyNumberFormat="1" applyFont="1" applyProtection="1"/>
    <xf numFmtId="38" fontId="9" fillId="0" borderId="0" xfId="2" applyFont="1" applyFill="1" applyBorder="1" applyAlignment="1" applyProtection="1">
      <alignment horizontal="center"/>
    </xf>
    <xf numFmtId="9" fontId="9" fillId="0" borderId="0" xfId="1" applyFont="1" applyFill="1" applyBorder="1" applyAlignment="1" applyProtection="1"/>
    <xf numFmtId="3" fontId="9" fillId="0" borderId="0" xfId="0" applyNumberFormat="1" applyFont="1" applyFill="1" applyProtection="1"/>
    <xf numFmtId="200" fontId="23" fillId="0" borderId="0" xfId="3" applyNumberFormat="1" applyFont="1" applyProtection="1"/>
    <xf numFmtId="38" fontId="23" fillId="0" borderId="0" xfId="2" applyFont="1" applyFill="1" applyBorder="1" applyAlignment="1" applyProtection="1"/>
    <xf numFmtId="38" fontId="23" fillId="0" borderId="0" xfId="2" applyFont="1" applyFill="1" applyBorder="1" applyAlignment="1" applyProtection="1">
      <alignment horizontal="center"/>
    </xf>
    <xf numFmtId="9" fontId="23" fillId="0" borderId="0" xfId="1" applyFont="1" applyFill="1" applyBorder="1" applyAlignment="1" applyProtection="1"/>
    <xf numFmtId="0" fontId="23" fillId="0" borderId="0" xfId="3" applyFont="1" applyFill="1" applyProtection="1"/>
    <xf numFmtId="200" fontId="15" fillId="0" borderId="0" xfId="3" applyNumberFormat="1" applyFont="1" applyProtection="1"/>
    <xf numFmtId="38" fontId="15" fillId="0" borderId="0" xfId="2" applyFont="1" applyFill="1" applyBorder="1" applyAlignment="1" applyProtection="1"/>
    <xf numFmtId="38" fontId="15" fillId="0" borderId="0" xfId="2" applyFont="1" applyFill="1" applyBorder="1" applyAlignment="1" applyProtection="1">
      <alignment horizontal="center"/>
    </xf>
    <xf numFmtId="9" fontId="15" fillId="0" borderId="0" xfId="1" applyFont="1" applyFill="1" applyBorder="1" applyAlignment="1" applyProtection="1"/>
    <xf numFmtId="0" fontId="15" fillId="0" borderId="0" xfId="3" applyFont="1" applyFill="1" applyProtection="1"/>
    <xf numFmtId="0" fontId="0" fillId="12" borderId="0" xfId="0" applyNumberFormat="1" applyFont="1" applyFill="1" applyAlignment="1">
      <alignment horizontal="left"/>
    </xf>
    <xf numFmtId="0" fontId="0" fillId="12" borderId="0" xfId="0" applyNumberFormat="1" applyFill="1"/>
    <xf numFmtId="0" fontId="0" fillId="12" borderId="0" xfId="0" applyFill="1"/>
    <xf numFmtId="0" fontId="0" fillId="12" borderId="0" xfId="0" applyFill="1" applyAlignment="1">
      <alignment horizontal="left"/>
    </xf>
    <xf numFmtId="0" fontId="21" fillId="12" borderId="0" xfId="0" applyFont="1" applyFill="1"/>
    <xf numFmtId="0" fontId="23" fillId="12" borderId="5" xfId="0" applyFont="1" applyFill="1" applyBorder="1" applyAlignment="1" applyProtection="1">
      <alignment vertical="center" shrinkToFit="1"/>
      <protection locked="0"/>
    </xf>
    <xf numFmtId="0" fontId="24" fillId="2" borderId="23" xfId="7" applyFont="1" applyFill="1" applyBorder="1" applyAlignment="1" applyProtection="1">
      <alignment vertical="center"/>
      <protection locked="0"/>
    </xf>
    <xf numFmtId="191" fontId="23" fillId="2" borderId="24" xfId="2" applyNumberFormat="1" applyFont="1" applyFill="1" applyBorder="1" applyAlignment="1" applyProtection="1">
      <alignment horizontal="right" vertical="center" shrinkToFit="1"/>
      <protection locked="0"/>
    </xf>
    <xf numFmtId="0" fontId="16" fillId="0" borderId="156"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shrinkToFit="1"/>
    </xf>
    <xf numFmtId="0" fontId="0" fillId="0" borderId="63" xfId="6" applyFont="1" applyBorder="1" applyAlignment="1" applyProtection="1">
      <alignment horizontal="justify" vertical="center" indent="1" shrinkToFit="1"/>
    </xf>
    <xf numFmtId="0" fontId="16" fillId="0" borderId="157" xfId="6" applyFont="1" applyBorder="1" applyAlignment="1" applyProtection="1">
      <alignment horizontal="center" vertical="center" textRotation="255" wrapText="1"/>
    </xf>
    <xf numFmtId="0" fontId="16" fillId="0" borderId="158" xfId="6" applyFont="1" applyBorder="1" applyAlignment="1" applyProtection="1">
      <alignment horizontal="center" vertical="center" textRotation="255" wrapText="1"/>
    </xf>
    <xf numFmtId="0" fontId="16" fillId="0" borderId="159" xfId="6" applyFont="1" applyBorder="1" applyAlignment="1" applyProtection="1">
      <alignment horizontal="center" vertical="center" textRotation="255" wrapText="1"/>
    </xf>
    <xf numFmtId="0" fontId="16" fillId="0" borderId="61" xfId="6" applyFont="1" applyBorder="1" applyAlignment="1" applyProtection="1">
      <alignment horizontal="justify" vertical="center" indent="1" shrinkToFit="1"/>
    </xf>
    <xf numFmtId="0" fontId="16" fillId="0" borderId="11" xfId="6" applyFont="1" applyBorder="1" applyAlignment="1" applyProtection="1">
      <alignment horizontal="justify" vertical="center" indent="1"/>
    </xf>
    <xf numFmtId="0" fontId="16" fillId="0" borderId="0" xfId="6" applyFont="1" applyBorder="1" applyAlignment="1" applyProtection="1">
      <alignment horizontal="left" vertical="center" indent="1"/>
    </xf>
    <xf numFmtId="0" fontId="0" fillId="0" borderId="61" xfId="6" applyFont="1" applyBorder="1" applyAlignment="1" applyProtection="1">
      <alignment horizontal="left" vertical="center" indent="1"/>
    </xf>
    <xf numFmtId="0" fontId="16" fillId="0" borderId="160" xfId="6" applyFont="1" applyBorder="1" applyAlignment="1" applyProtection="1">
      <alignment horizontal="center" vertical="center"/>
    </xf>
    <xf numFmtId="0" fontId="16" fillId="0" borderId="161" xfId="6" applyFont="1" applyBorder="1" applyAlignment="1" applyProtection="1">
      <alignment horizontal="center" vertical="center" textRotation="255" wrapText="1"/>
    </xf>
    <xf numFmtId="0" fontId="16" fillId="0" borderId="9" xfId="6" applyFont="1" applyBorder="1" applyAlignment="1" applyProtection="1">
      <alignment horizontal="center" vertical="center" textRotation="255" wrapText="1"/>
    </xf>
    <xf numFmtId="0" fontId="16" fillId="0" borderId="13" xfId="6" applyFont="1" applyBorder="1" applyAlignment="1" applyProtection="1">
      <alignment horizontal="center" vertical="center" textRotation="255" wrapText="1"/>
    </xf>
    <xf numFmtId="0" fontId="16" fillId="0" borderId="25" xfId="6" applyFont="1" applyBorder="1" applyAlignment="1" applyProtection="1">
      <alignment horizontal="center" vertical="center" textRotation="255" wrapText="1"/>
    </xf>
    <xf numFmtId="0" fontId="16" fillId="0" borderId="18" xfId="6" applyFont="1" applyBorder="1" applyAlignment="1" applyProtection="1">
      <alignment horizontal="justify" vertical="center" indent="1"/>
    </xf>
    <xf numFmtId="0" fontId="16" fillId="0" borderId="62" xfId="6" applyFont="1" applyBorder="1" applyAlignment="1" applyProtection="1">
      <alignment horizontal="justify" vertical="center" indent="1"/>
    </xf>
    <xf numFmtId="0" fontId="16" fillId="0" borderId="147" xfId="6" applyFont="1" applyBorder="1" applyAlignment="1" applyProtection="1">
      <alignment horizontal="center" vertical="center" textRotation="255" wrapText="1"/>
    </xf>
    <xf numFmtId="0" fontId="16" fillId="0" borderId="60" xfId="6" applyFont="1" applyBorder="1" applyAlignment="1" applyProtection="1">
      <alignment horizontal="center" vertical="center" textRotation="255" wrapText="1"/>
    </xf>
    <xf numFmtId="0" fontId="16" fillId="0" borderId="62" xfId="6" applyFont="1" applyBorder="1" applyAlignment="1" applyProtection="1">
      <alignment horizontal="center" vertical="center"/>
    </xf>
    <xf numFmtId="0" fontId="16" fillId="0" borderId="162" xfId="6" applyFont="1" applyBorder="1" applyAlignment="1" applyProtection="1">
      <alignment horizontal="justify" vertical="center" indent="1"/>
    </xf>
    <xf numFmtId="0" fontId="4" fillId="0" borderId="163" xfId="0" applyFont="1" applyBorder="1" applyAlignment="1" applyProtection="1">
      <alignment horizontal="center" vertical="center"/>
    </xf>
    <xf numFmtId="201" fontId="4" fillId="12" borderId="133" xfId="0" applyNumberFormat="1" applyFont="1" applyFill="1" applyBorder="1" applyAlignment="1" applyProtection="1">
      <alignment horizontal="center"/>
      <protection locked="0"/>
    </xf>
    <xf numFmtId="0" fontId="16" fillId="0" borderId="0" xfId="6" applyFont="1" applyBorder="1" applyAlignment="1" applyProtection="1">
      <alignment vertical="center"/>
    </xf>
    <xf numFmtId="184" fontId="16" fillId="0" borderId="0" xfId="6" applyNumberFormat="1" applyFont="1" applyBorder="1" applyAlignment="1" applyProtection="1">
      <alignment horizontal="right" vertical="center"/>
    </xf>
    <xf numFmtId="0" fontId="16" fillId="0" borderId="0" xfId="6" applyFont="1" applyAlignment="1" applyProtection="1">
      <alignment vertical="center"/>
    </xf>
    <xf numFmtId="0" fontId="23" fillId="0" borderId="0" xfId="6" applyFont="1" applyAlignment="1" applyProtection="1">
      <alignment vertical="center"/>
    </xf>
    <xf numFmtId="0" fontId="16" fillId="0" borderId="0" xfId="0" applyFont="1" applyAlignment="1" applyProtection="1">
      <alignment horizontal="left"/>
    </xf>
    <xf numFmtId="0" fontId="23" fillId="0" borderId="0" xfId="6" applyFont="1" applyAlignment="1" applyProtection="1">
      <alignment horizontal="left" vertical="center"/>
    </xf>
    <xf numFmtId="197" fontId="33" fillId="0" borderId="171" xfId="0" applyNumberFormat="1" applyFont="1" applyBorder="1" applyAlignment="1">
      <alignment vertical="center"/>
    </xf>
    <xf numFmtId="197" fontId="0" fillId="0" borderId="172" xfId="0" applyNumberFormat="1" applyFont="1" applyBorder="1" applyAlignment="1">
      <alignment horizontal="center" vertical="center"/>
    </xf>
    <xf numFmtId="197" fontId="0" fillId="0" borderId="171" xfId="0" applyNumberFormat="1" applyFont="1" applyBorder="1" applyAlignment="1">
      <alignment horizontal="center" vertical="center"/>
    </xf>
    <xf numFmtId="197" fontId="0" fillId="0" borderId="173" xfId="0" applyNumberFormat="1" applyFont="1" applyBorder="1" applyAlignment="1">
      <alignment horizontal="center" vertical="center"/>
    </xf>
    <xf numFmtId="197" fontId="0" fillId="0" borderId="174" xfId="0" applyNumberFormat="1" applyFont="1" applyBorder="1" applyAlignment="1">
      <alignment horizontal="center" vertical="center"/>
    </xf>
    <xf numFmtId="197" fontId="0" fillId="18" borderId="168" xfId="0" applyNumberFormat="1" applyFont="1" applyFill="1" applyBorder="1" applyAlignment="1">
      <alignment horizontal="center" vertical="center"/>
    </xf>
    <xf numFmtId="197" fontId="0" fillId="0" borderId="125" xfId="0" applyNumberFormat="1" applyBorder="1" applyAlignment="1">
      <alignment horizontal="center" vertical="center"/>
    </xf>
    <xf numFmtId="0" fontId="0" fillId="0" borderId="11" xfId="6" applyFont="1" applyBorder="1" applyAlignment="1" applyProtection="1">
      <alignment horizontal="left" vertical="center" indent="1"/>
    </xf>
    <xf numFmtId="0" fontId="9" fillId="16" borderId="193" xfId="3" applyNumberFormat="1" applyFont="1" applyFill="1" applyBorder="1" applyAlignment="1" applyProtection="1">
      <alignment horizontal="left" vertical="center"/>
    </xf>
    <xf numFmtId="181" fontId="23" fillId="18" borderId="194" xfId="3" applyNumberFormat="1" applyFont="1" applyFill="1" applyBorder="1" applyAlignment="1" applyProtection="1">
      <alignment vertical="center"/>
    </xf>
    <xf numFmtId="0" fontId="15" fillId="0" borderId="0" xfId="3" applyNumberFormat="1" applyFont="1" applyFill="1" applyBorder="1" applyProtection="1"/>
    <xf numFmtId="0" fontId="24" fillId="0" borderId="0" xfId="3" applyNumberFormat="1" applyFont="1" applyFill="1" applyBorder="1" applyAlignment="1" applyProtection="1">
      <alignment horizontal="right"/>
    </xf>
    <xf numFmtId="0" fontId="16" fillId="0" borderId="0" xfId="0" applyFont="1" applyFill="1" applyProtection="1"/>
    <xf numFmtId="3" fontId="23" fillId="18" borderId="94" xfId="3" applyNumberFormat="1" applyFont="1" applyFill="1" applyBorder="1" applyAlignment="1" applyProtection="1">
      <alignment vertical="center"/>
    </xf>
    <xf numFmtId="3" fontId="23" fillId="0" borderId="85" xfId="3" applyNumberFormat="1" applyFont="1" applyFill="1" applyBorder="1" applyAlignment="1" applyProtection="1">
      <alignment vertical="center"/>
    </xf>
    <xf numFmtId="3" fontId="23" fillId="0" borderId="47" xfId="3" applyNumberFormat="1" applyFont="1" applyFill="1" applyBorder="1" applyAlignment="1" applyProtection="1">
      <alignment vertical="center"/>
    </xf>
    <xf numFmtId="3" fontId="23" fillId="0" borderId="100" xfId="3" applyNumberFormat="1" applyFont="1" applyFill="1" applyBorder="1" applyAlignment="1" applyProtection="1">
      <alignment vertical="center"/>
    </xf>
    <xf numFmtId="181" fontId="23" fillId="0" borderId="42" xfId="3" applyNumberFormat="1" applyFont="1" applyFill="1" applyBorder="1" applyAlignment="1" applyProtection="1">
      <alignment vertical="center"/>
    </xf>
    <xf numFmtId="3" fontId="23" fillId="0" borderId="42" xfId="3" applyNumberFormat="1" applyFont="1" applyFill="1" applyBorder="1" applyAlignment="1" applyProtection="1">
      <alignment vertical="center"/>
    </xf>
    <xf numFmtId="181" fontId="30" fillId="0" borderId="47" xfId="3" applyNumberFormat="1" applyFont="1" applyFill="1" applyBorder="1" applyAlignment="1" applyProtection="1">
      <alignment vertical="center"/>
    </xf>
    <xf numFmtId="3" fontId="30" fillId="0" borderId="47" xfId="3" applyNumberFormat="1" applyFont="1" applyFill="1" applyBorder="1" applyAlignment="1" applyProtection="1">
      <alignment vertical="center"/>
    </xf>
    <xf numFmtId="189" fontId="16" fillId="2" borderId="47" xfId="1" applyNumberFormat="1" applyFill="1" applyBorder="1" applyAlignment="1" applyProtection="1">
      <alignment vertical="center"/>
      <protection locked="0"/>
    </xf>
    <xf numFmtId="4" fontId="23" fillId="0" borderId="85" xfId="3" applyNumberFormat="1" applyFont="1" applyFill="1" applyBorder="1" applyAlignment="1" applyProtection="1">
      <alignment vertical="center"/>
    </xf>
    <xf numFmtId="4" fontId="23" fillId="0" borderId="47" xfId="3" applyNumberFormat="1" applyFont="1" applyFill="1" applyBorder="1" applyAlignment="1" applyProtection="1">
      <alignment vertical="center"/>
    </xf>
    <xf numFmtId="4" fontId="23" fillId="0" borderId="100" xfId="3" applyNumberFormat="1" applyFont="1" applyFill="1" applyBorder="1" applyAlignment="1" applyProtection="1">
      <alignment vertical="center"/>
    </xf>
    <xf numFmtId="198" fontId="23" fillId="0" borderId="85" xfId="3" applyNumberFormat="1" applyFont="1" applyFill="1" applyBorder="1" applyAlignment="1" applyProtection="1">
      <alignment vertical="center"/>
    </xf>
    <xf numFmtId="198" fontId="23" fillId="0" borderId="47" xfId="3" applyNumberFormat="1" applyFont="1" applyFill="1" applyBorder="1" applyAlignment="1" applyProtection="1">
      <alignment vertical="center"/>
    </xf>
    <xf numFmtId="198" fontId="23" fillId="0" borderId="100" xfId="3" applyNumberFormat="1" applyFont="1" applyFill="1" applyBorder="1" applyAlignment="1" applyProtection="1">
      <alignment vertical="center"/>
    </xf>
    <xf numFmtId="38" fontId="16" fillId="12" borderId="163" xfId="2" applyFill="1" applyBorder="1" applyAlignment="1" applyProtection="1">
      <alignment vertical="center"/>
      <protection locked="0"/>
    </xf>
    <xf numFmtId="38" fontId="16" fillId="12" borderId="164" xfId="2" applyFill="1" applyBorder="1" applyAlignment="1" applyProtection="1">
      <alignment vertical="center"/>
      <protection locked="0"/>
    </xf>
    <xf numFmtId="38" fontId="16" fillId="0" borderId="165" xfId="2" applyBorder="1" applyAlignment="1">
      <alignment vertical="center"/>
    </xf>
    <xf numFmtId="38" fontId="16" fillId="12" borderId="135" xfId="2" applyFill="1" applyBorder="1" applyAlignment="1" applyProtection="1">
      <alignment vertical="center"/>
      <protection locked="0"/>
    </xf>
    <xf numFmtId="38" fontId="16" fillId="12" borderId="117" xfId="2" applyFill="1" applyBorder="1" applyAlignment="1" applyProtection="1">
      <alignment vertical="center"/>
      <protection locked="0"/>
    </xf>
    <xf numFmtId="38" fontId="16" fillId="0" borderId="130" xfId="2" applyBorder="1" applyAlignment="1">
      <alignment vertical="center"/>
    </xf>
    <xf numFmtId="38" fontId="16" fillId="0" borderId="130" xfId="2" applyBorder="1" applyAlignment="1">
      <alignment horizontal="right" vertical="center"/>
    </xf>
    <xf numFmtId="38" fontId="16" fillId="12" borderId="133" xfId="2" applyFill="1" applyBorder="1" applyAlignment="1" applyProtection="1">
      <alignment vertical="center"/>
      <protection locked="0"/>
    </xf>
    <xf numFmtId="38" fontId="16" fillId="12" borderId="166" xfId="2" applyFill="1" applyBorder="1" applyAlignment="1" applyProtection="1">
      <alignment vertical="center"/>
      <protection locked="0"/>
    </xf>
    <xf numFmtId="38" fontId="16" fillId="0" borderId="134" xfId="2" applyBorder="1" applyAlignment="1">
      <alignment horizontal="right" vertical="center"/>
    </xf>
    <xf numFmtId="38" fontId="16" fillId="12" borderId="184" xfId="2" applyFill="1" applyBorder="1" applyAlignment="1" applyProtection="1">
      <alignment vertical="center"/>
      <protection locked="0"/>
    </xf>
    <xf numFmtId="38" fontId="16" fillId="12" borderId="185" xfId="2" applyFill="1" applyBorder="1" applyAlignment="1" applyProtection="1">
      <alignment vertical="center"/>
      <protection locked="0"/>
    </xf>
    <xf numFmtId="38" fontId="16" fillId="0" borderId="127" xfId="2" applyBorder="1" applyAlignment="1">
      <alignment horizontal="right" vertical="center"/>
    </xf>
    <xf numFmtId="38" fontId="16" fillId="18" borderId="180" xfId="2" applyFill="1" applyBorder="1" applyAlignment="1">
      <alignment vertical="center"/>
    </xf>
    <xf numFmtId="38" fontId="16" fillId="18" borderId="181" xfId="2" applyFill="1" applyBorder="1" applyAlignment="1">
      <alignment vertical="center"/>
    </xf>
    <xf numFmtId="38" fontId="16" fillId="18" borderId="182" xfId="2" applyFill="1" applyBorder="1" applyAlignment="1">
      <alignment horizontal="right" vertical="center"/>
    </xf>
    <xf numFmtId="38" fontId="16" fillId="18" borderId="183" xfId="2" applyFill="1" applyBorder="1" applyAlignment="1">
      <alignment horizontal="right" vertical="center"/>
    </xf>
    <xf numFmtId="38" fontId="16" fillId="18" borderId="167" xfId="2" applyFill="1" applyBorder="1" applyAlignment="1">
      <alignment horizontal="right" vertical="center"/>
    </xf>
    <xf numFmtId="38" fontId="16" fillId="12" borderId="175" xfId="2" applyFill="1" applyBorder="1" applyAlignment="1" applyProtection="1">
      <alignment vertical="center"/>
      <protection locked="0"/>
    </xf>
    <xf numFmtId="38" fontId="16" fillId="12" borderId="186" xfId="2" applyFill="1" applyBorder="1" applyAlignment="1" applyProtection="1">
      <alignment vertical="center"/>
      <protection locked="0"/>
    </xf>
    <xf numFmtId="38" fontId="16" fillId="0" borderId="175" xfId="2" applyBorder="1" applyAlignment="1">
      <alignment vertical="center"/>
    </xf>
    <xf numFmtId="38" fontId="16" fillId="12" borderId="177" xfId="2" applyFill="1" applyBorder="1" applyAlignment="1" applyProtection="1">
      <alignment vertical="center"/>
      <protection locked="0"/>
    </xf>
    <xf numFmtId="38" fontId="16" fillId="12" borderId="187" xfId="2" applyFill="1" applyBorder="1" applyAlignment="1" applyProtection="1">
      <alignment vertical="center"/>
      <protection locked="0"/>
    </xf>
    <xf numFmtId="38" fontId="16" fillId="0" borderId="189" xfId="2" applyBorder="1" applyAlignment="1">
      <alignment vertical="center"/>
    </xf>
    <xf numFmtId="38" fontId="16" fillId="12" borderId="178" xfId="2" applyFill="1" applyBorder="1" applyAlignment="1" applyProtection="1">
      <alignment vertical="center"/>
      <protection locked="0"/>
    </xf>
    <xf numFmtId="38" fontId="16" fillId="12" borderId="188" xfId="2" applyFill="1" applyBorder="1" applyAlignment="1" applyProtection="1">
      <alignment vertical="center"/>
      <protection locked="0"/>
    </xf>
    <xf numFmtId="38" fontId="16" fillId="0" borderId="190" xfId="2" applyBorder="1" applyAlignment="1">
      <alignment vertical="center"/>
    </xf>
    <xf numFmtId="38" fontId="16" fillId="12" borderId="179" xfId="2" applyFill="1" applyBorder="1" applyAlignment="1" applyProtection="1">
      <alignment vertical="center"/>
      <protection locked="0"/>
    </xf>
    <xf numFmtId="38" fontId="16" fillId="12" borderId="126" xfId="2" applyFill="1" applyBorder="1" applyAlignment="1" applyProtection="1">
      <alignment vertical="center"/>
      <protection locked="0"/>
    </xf>
    <xf numFmtId="38" fontId="16" fillId="0" borderId="179" xfId="2" applyBorder="1" applyAlignment="1">
      <alignment vertical="center"/>
    </xf>
    <xf numFmtId="198" fontId="9" fillId="0" borderId="23" xfId="7" applyNumberFormat="1" applyFont="1" applyBorder="1" applyAlignment="1" applyProtection="1">
      <alignment vertical="center"/>
    </xf>
    <xf numFmtId="0" fontId="0" fillId="3" borderId="38" xfId="0" applyFont="1" applyFill="1" applyBorder="1" applyAlignment="1" applyProtection="1">
      <alignment shrinkToFit="1"/>
      <protection locked="0"/>
    </xf>
    <xf numFmtId="0" fontId="0" fillId="3" borderId="2" xfId="0" applyFont="1" applyFill="1" applyBorder="1" applyAlignment="1" applyProtection="1">
      <alignment shrinkToFit="1"/>
      <protection locked="0"/>
    </xf>
    <xf numFmtId="0" fontId="0" fillId="7" borderId="15" xfId="0" applyFill="1" applyBorder="1" applyAlignment="1" applyProtection="1">
      <alignment shrinkToFit="1"/>
      <protection locked="0"/>
    </xf>
    <xf numFmtId="0" fontId="0" fillId="7" borderId="15" xfId="0" applyFont="1" applyFill="1" applyBorder="1" applyAlignment="1" applyProtection="1">
      <alignment shrinkToFit="1"/>
      <protection locked="0"/>
    </xf>
    <xf numFmtId="0" fontId="0" fillId="7" borderId="2" xfId="0" applyFill="1" applyBorder="1" applyAlignment="1" applyProtection="1">
      <alignment shrinkToFit="1"/>
      <protection locked="0"/>
    </xf>
    <xf numFmtId="0" fontId="0" fillId="7" borderId="2" xfId="0" applyFont="1" applyFill="1" applyBorder="1" applyAlignment="1" applyProtection="1">
      <alignment shrinkToFit="1"/>
      <protection locked="0"/>
    </xf>
    <xf numFmtId="0" fontId="21" fillId="7" borderId="2" xfId="0" applyFont="1" applyFill="1" applyBorder="1" applyAlignment="1" applyProtection="1">
      <alignment shrinkToFit="1"/>
      <protection locked="0"/>
    </xf>
    <xf numFmtId="0" fontId="0" fillId="14" borderId="38" xfId="0" applyFont="1" applyFill="1" applyBorder="1" applyAlignment="1" applyProtection="1">
      <alignment shrinkToFit="1"/>
      <protection locked="0"/>
    </xf>
    <xf numFmtId="0" fontId="0" fillId="14" borderId="2" xfId="0" applyFont="1" applyFill="1" applyBorder="1" applyAlignment="1" applyProtection="1">
      <alignment shrinkToFit="1"/>
      <protection locked="0"/>
    </xf>
    <xf numFmtId="0" fontId="0" fillId="3" borderId="82" xfId="0" applyFill="1" applyBorder="1" applyAlignment="1" applyProtection="1">
      <alignment shrinkToFit="1"/>
      <protection locked="0"/>
    </xf>
    <xf numFmtId="0" fontId="0" fillId="3" borderId="8" xfId="0" applyFill="1" applyBorder="1" applyAlignment="1" applyProtection="1">
      <alignment shrinkToFit="1"/>
      <protection locked="0"/>
    </xf>
    <xf numFmtId="0" fontId="0" fillId="7" borderId="8" xfId="0" applyFill="1" applyBorder="1" applyAlignment="1" applyProtection="1">
      <alignment shrinkToFit="1"/>
      <protection locked="0"/>
    </xf>
    <xf numFmtId="0" fontId="0" fillId="3" borderId="38" xfId="0" applyFill="1" applyBorder="1" applyAlignment="1" applyProtection="1">
      <alignment shrinkToFit="1"/>
      <protection locked="0"/>
    </xf>
    <xf numFmtId="0" fontId="0" fillId="3" borderId="2" xfId="0" applyFill="1" applyBorder="1" applyAlignment="1" applyProtection="1">
      <alignment shrinkToFit="1"/>
      <protection locked="0"/>
    </xf>
    <xf numFmtId="0" fontId="0" fillId="3" borderId="80" xfId="0" applyFill="1" applyBorder="1" applyAlignment="1" applyProtection="1">
      <alignment shrinkToFit="1"/>
      <protection locked="0"/>
    </xf>
    <xf numFmtId="0" fontId="0" fillId="3" borderId="74" xfId="0" applyFill="1" applyBorder="1" applyAlignment="1" applyProtection="1">
      <alignment shrinkToFit="1"/>
      <protection locked="0"/>
    </xf>
    <xf numFmtId="0" fontId="0" fillId="7" borderId="74" xfId="0" applyFill="1" applyBorder="1" applyAlignment="1" applyProtection="1">
      <alignment shrinkToFit="1"/>
      <protection locked="0"/>
    </xf>
    <xf numFmtId="197" fontId="0" fillId="0" borderId="169" xfId="0" applyNumberFormat="1" applyBorder="1" applyAlignment="1">
      <alignment horizontal="center" vertical="center"/>
    </xf>
    <xf numFmtId="197" fontId="0" fillId="0" borderId="170" xfId="0" applyNumberFormat="1" applyBorder="1" applyAlignment="1">
      <alignment horizontal="center" vertical="center"/>
    </xf>
    <xf numFmtId="197" fontId="0" fillId="0" borderId="132" xfId="0" applyNumberFormat="1" applyFont="1" applyBorder="1" applyAlignment="1">
      <alignment horizontal="center" vertical="center" shrinkToFit="1"/>
    </xf>
    <xf numFmtId="0" fontId="7" fillId="0" borderId="197" xfId="4" applyFont="1" applyFill="1" applyBorder="1" applyAlignment="1"/>
    <xf numFmtId="0" fontId="23" fillId="25" borderId="198" xfId="3" applyNumberFormat="1" applyFont="1" applyFill="1" applyBorder="1" applyAlignment="1" applyProtection="1">
      <alignment horizontal="center" vertical="center"/>
    </xf>
    <xf numFmtId="0" fontId="12" fillId="2" borderId="199" xfId="3" applyNumberFormat="1" applyFont="1" applyFill="1" applyBorder="1" applyAlignment="1" applyProtection="1">
      <alignment horizontal="center" vertical="center"/>
    </xf>
    <xf numFmtId="0" fontId="12" fillId="2" borderId="200" xfId="3" applyNumberFormat="1" applyFont="1" applyFill="1" applyBorder="1" applyAlignment="1" applyProtection="1">
      <alignment horizontal="center" vertical="center"/>
    </xf>
    <xf numFmtId="0" fontId="12" fillId="3" borderId="200" xfId="3" applyNumberFormat="1" applyFont="1" applyFill="1" applyBorder="1" applyAlignment="1" applyProtection="1">
      <alignment horizontal="center" vertical="center"/>
    </xf>
    <xf numFmtId="200" fontId="12" fillId="2" borderId="200" xfId="3" applyNumberFormat="1" applyFont="1" applyFill="1" applyBorder="1" applyAlignment="1" applyProtection="1">
      <alignment horizontal="center" vertical="center"/>
    </xf>
    <xf numFmtId="0" fontId="27" fillId="2" borderId="200" xfId="3" applyNumberFormat="1" applyFont="1" applyFill="1" applyBorder="1" applyAlignment="1" applyProtection="1">
      <alignment horizontal="center" vertical="center" shrinkToFit="1"/>
    </xf>
    <xf numFmtId="0" fontId="12" fillId="0" borderId="201" xfId="3" applyNumberFormat="1" applyFont="1" applyFill="1" applyBorder="1" applyAlignment="1" applyProtection="1">
      <alignment horizontal="center" vertical="center"/>
    </xf>
    <xf numFmtId="38" fontId="28" fillId="4" borderId="200" xfId="2" applyFont="1" applyFill="1" applyBorder="1" applyAlignment="1" applyProtection="1">
      <alignment horizontal="center" vertical="center"/>
    </xf>
    <xf numFmtId="38" fontId="28" fillId="3" borderId="200" xfId="2" applyFont="1" applyFill="1" applyBorder="1" applyAlignment="1" applyProtection="1">
      <alignment horizontal="center" vertical="center"/>
    </xf>
    <xf numFmtId="38" fontId="29" fillId="10" borderId="200" xfId="2" applyFont="1" applyFill="1" applyBorder="1" applyAlignment="1" applyProtection="1">
      <alignment horizontal="center" vertical="center"/>
    </xf>
    <xf numFmtId="38" fontId="28" fillId="4" borderId="201" xfId="2" applyFont="1" applyFill="1" applyBorder="1" applyAlignment="1" applyProtection="1">
      <alignment horizontal="center" vertical="center"/>
    </xf>
    <xf numFmtId="9" fontId="28" fillId="4" borderId="202" xfId="1" applyFont="1" applyFill="1" applyBorder="1" applyAlignment="1" applyProtection="1">
      <alignment horizontal="center" vertical="center"/>
    </xf>
    <xf numFmtId="9" fontId="28" fillId="4" borderId="200" xfId="1" applyFont="1" applyFill="1" applyBorder="1" applyAlignment="1" applyProtection="1">
      <alignment horizontal="center" vertical="center"/>
    </xf>
    <xf numFmtId="9" fontId="28" fillId="4" borderId="203" xfId="1" applyFont="1" applyFill="1" applyBorder="1" applyAlignment="1" applyProtection="1">
      <alignment horizontal="center" vertical="center"/>
    </xf>
    <xf numFmtId="0" fontId="28" fillId="10" borderId="204" xfId="3" applyNumberFormat="1" applyFont="1" applyFill="1" applyBorder="1" applyAlignment="1" applyProtection="1">
      <alignment horizontal="center" vertical="center"/>
    </xf>
    <xf numFmtId="0" fontId="28" fillId="10" borderId="201" xfId="3" applyNumberFormat="1" applyFont="1" applyFill="1" applyBorder="1" applyAlignment="1" applyProtection="1">
      <alignment horizontal="center" vertical="center"/>
    </xf>
    <xf numFmtId="0" fontId="12" fillId="2" borderId="205" xfId="3" applyNumberFormat="1" applyFont="1" applyFill="1" applyBorder="1" applyAlignment="1" applyProtection="1">
      <alignment horizontal="center" vertical="center"/>
    </xf>
    <xf numFmtId="0" fontId="0" fillId="13" borderId="2" xfId="0" applyFill="1" applyBorder="1" applyAlignment="1" applyProtection="1">
      <alignment vertical="center" shrinkToFit="1"/>
      <protection locked="0"/>
    </xf>
    <xf numFmtId="203" fontId="23" fillId="0" borderId="85" xfId="3" applyNumberFormat="1" applyFont="1" applyFill="1" applyBorder="1" applyAlignment="1" applyProtection="1">
      <alignment vertical="center"/>
    </xf>
    <xf numFmtId="182" fontId="9" fillId="12" borderId="100" xfId="3" applyNumberFormat="1" applyFont="1" applyFill="1" applyBorder="1" applyAlignment="1" applyProtection="1">
      <alignment vertical="center"/>
      <protection locked="0"/>
    </xf>
    <xf numFmtId="181" fontId="23" fillId="12" borderId="100" xfId="3" applyNumberFormat="1" applyFont="1" applyFill="1" applyBorder="1" applyAlignment="1" applyProtection="1">
      <alignment vertical="center"/>
      <protection locked="0"/>
    </xf>
    <xf numFmtId="182" fontId="9" fillId="12" borderId="100" xfId="3" applyNumberFormat="1" applyFont="1" applyFill="1" applyBorder="1" applyAlignment="1" applyProtection="1">
      <alignment horizontal="center" vertical="center"/>
      <protection locked="0"/>
    </xf>
    <xf numFmtId="0" fontId="38" fillId="0" borderId="0" xfId="0" applyFont="1" applyProtection="1"/>
    <xf numFmtId="0" fontId="38" fillId="0" borderId="0" xfId="0" applyFont="1" applyAlignment="1" applyProtection="1">
      <alignment horizontal="center" vertical="center" wrapText="1"/>
    </xf>
    <xf numFmtId="9" fontId="23" fillId="16" borderId="208" xfId="1" applyFont="1" applyFill="1" applyBorder="1" applyAlignment="1" applyProtection="1">
      <alignment vertical="center"/>
    </xf>
    <xf numFmtId="182" fontId="24" fillId="16" borderId="209" xfId="3" applyNumberFormat="1" applyFont="1" applyFill="1" applyBorder="1" applyAlignment="1" applyProtection="1">
      <alignment vertical="center"/>
    </xf>
    <xf numFmtId="0" fontId="0" fillId="0" borderId="167" xfId="0" applyBorder="1" applyAlignment="1">
      <alignment vertical="center"/>
    </xf>
    <xf numFmtId="0" fontId="0" fillId="0" borderId="167" xfId="0" applyFont="1" applyBorder="1" applyAlignment="1">
      <alignment vertical="center"/>
    </xf>
    <xf numFmtId="0" fontId="0" fillId="12" borderId="195" xfId="0" applyFont="1" applyFill="1" applyBorder="1" applyAlignment="1" applyProtection="1">
      <alignment vertical="center"/>
      <protection locked="0"/>
    </xf>
    <xf numFmtId="0" fontId="7" fillId="5" borderId="192" xfId="5" applyFont="1" applyFill="1" applyBorder="1" applyAlignment="1">
      <alignment horizontal="center"/>
    </xf>
    <xf numFmtId="204" fontId="39" fillId="12" borderId="211" xfId="0" applyNumberFormat="1" applyFont="1" applyFill="1" applyBorder="1" applyAlignment="1" applyProtection="1">
      <alignment vertical="center" shrinkToFit="1"/>
      <protection locked="0"/>
    </xf>
    <xf numFmtId="204" fontId="39" fillId="12" borderId="212" xfId="0" applyNumberFormat="1" applyFont="1" applyFill="1" applyBorder="1" applyAlignment="1" applyProtection="1">
      <alignment vertical="center" shrinkToFit="1"/>
      <protection locked="0"/>
    </xf>
    <xf numFmtId="204" fontId="39" fillId="12" borderId="213" xfId="0" applyNumberFormat="1" applyFont="1" applyFill="1" applyBorder="1" applyAlignment="1" applyProtection="1">
      <alignment vertical="center" shrinkToFit="1"/>
      <protection locked="0"/>
    </xf>
    <xf numFmtId="204" fontId="39" fillId="12" borderId="214" xfId="0" applyNumberFormat="1" applyFont="1" applyFill="1" applyBorder="1" applyAlignment="1" applyProtection="1">
      <alignment vertical="center" shrinkToFit="1"/>
      <protection locked="0"/>
    </xf>
    <xf numFmtId="204" fontId="39" fillId="12" borderId="215" xfId="0" applyNumberFormat="1" applyFont="1" applyFill="1" applyBorder="1" applyAlignment="1" applyProtection="1">
      <alignment vertical="center" shrinkToFit="1"/>
      <protection locked="0"/>
    </xf>
    <xf numFmtId="204" fontId="39" fillId="12" borderId="216" xfId="0" applyNumberFormat="1" applyFont="1" applyFill="1" applyBorder="1" applyAlignment="1" applyProtection="1">
      <alignment vertical="center" shrinkToFit="1"/>
      <protection locked="0"/>
    </xf>
    <xf numFmtId="204" fontId="39" fillId="12" borderId="217" xfId="0" applyNumberFormat="1" applyFont="1" applyFill="1" applyBorder="1" applyAlignment="1" applyProtection="1">
      <alignment vertical="center" shrinkToFit="1"/>
      <protection locked="0"/>
    </xf>
    <xf numFmtId="204" fontId="39" fillId="0" borderId="218" xfId="0" applyNumberFormat="1" applyFont="1" applyBorder="1" applyAlignment="1" applyProtection="1">
      <alignment vertical="center" shrinkToFit="1"/>
    </xf>
    <xf numFmtId="204" fontId="39" fillId="12" borderId="219" xfId="0" applyNumberFormat="1" applyFont="1" applyFill="1" applyBorder="1" applyAlignment="1" applyProtection="1">
      <alignment vertical="center" shrinkToFit="1"/>
      <protection locked="0"/>
    </xf>
    <xf numFmtId="204" fontId="39" fillId="0" borderId="222" xfId="0" applyNumberFormat="1" applyFont="1" applyBorder="1" applyAlignment="1" applyProtection="1">
      <alignment vertical="center" shrinkToFit="1"/>
    </xf>
    <xf numFmtId="204" fontId="39" fillId="0" borderId="223" xfId="0" applyNumberFormat="1" applyFont="1" applyBorder="1" applyAlignment="1" applyProtection="1">
      <alignment vertical="center" shrinkToFit="1"/>
    </xf>
    <xf numFmtId="204" fontId="39" fillId="0" borderId="224" xfId="0" applyNumberFormat="1" applyFont="1" applyBorder="1" applyAlignment="1" applyProtection="1">
      <alignment vertical="center" shrinkToFit="1"/>
    </xf>
    <xf numFmtId="204" fontId="39" fillId="0" borderId="225" xfId="0" applyNumberFormat="1" applyFont="1" applyBorder="1" applyAlignment="1" applyProtection="1">
      <alignment vertical="center" shrinkToFit="1"/>
    </xf>
    <xf numFmtId="204" fontId="39" fillId="0" borderId="226" xfId="0" applyNumberFormat="1" applyFont="1" applyBorder="1" applyAlignment="1" applyProtection="1">
      <alignment vertical="center" shrinkToFit="1"/>
    </xf>
    <xf numFmtId="0" fontId="23" fillId="0" borderId="227" xfId="0" applyFont="1" applyBorder="1" applyAlignment="1" applyProtection="1">
      <alignment horizontal="center" vertical="center" shrinkToFit="1"/>
    </xf>
    <xf numFmtId="204" fontId="39" fillId="0" borderId="228" xfId="0" applyNumberFormat="1" applyFont="1" applyBorder="1" applyAlignment="1" applyProtection="1">
      <alignment vertical="center" shrinkToFit="1"/>
    </xf>
    <xf numFmtId="0" fontId="23" fillId="0" borderId="229" xfId="0" applyFont="1" applyBorder="1" applyAlignment="1" applyProtection="1">
      <alignment horizontal="center" shrinkToFit="1"/>
    </xf>
    <xf numFmtId="204" fontId="39" fillId="0" borderId="230" xfId="0" applyNumberFormat="1" applyFont="1" applyBorder="1" applyAlignment="1" applyProtection="1">
      <alignment vertical="center" shrinkToFit="1"/>
    </xf>
    <xf numFmtId="204" fontId="39" fillId="0" borderId="231" xfId="0" applyNumberFormat="1" applyFont="1" applyBorder="1" applyAlignment="1" applyProtection="1">
      <alignment vertical="center" shrinkToFit="1"/>
    </xf>
    <xf numFmtId="204" fontId="39" fillId="0" borderId="232" xfId="0" applyNumberFormat="1" applyFont="1" applyBorder="1" applyAlignment="1" applyProtection="1">
      <alignment vertical="center" shrinkToFit="1"/>
    </xf>
    <xf numFmtId="204" fontId="39" fillId="0" borderId="233" xfId="0" applyNumberFormat="1" applyFont="1" applyBorder="1" applyAlignment="1" applyProtection="1">
      <alignment vertical="center" shrinkToFit="1"/>
    </xf>
    <xf numFmtId="204" fontId="39" fillId="0" borderId="234" xfId="0" applyNumberFormat="1" applyFont="1" applyBorder="1" applyAlignment="1" applyProtection="1">
      <alignment vertical="center" shrinkToFit="1"/>
    </xf>
    <xf numFmtId="204" fontId="39" fillId="0" borderId="235" xfId="0" applyNumberFormat="1" applyFont="1" applyBorder="1" applyAlignment="1" applyProtection="1">
      <alignment vertical="center" shrinkToFit="1"/>
    </xf>
    <xf numFmtId="38" fontId="16" fillId="12" borderId="196" xfId="2" applyFill="1" applyBorder="1" applyAlignment="1" applyProtection="1">
      <alignment vertical="center"/>
      <protection locked="0"/>
    </xf>
    <xf numFmtId="0" fontId="0" fillId="12" borderId="175" xfId="0" applyFont="1" applyFill="1" applyBorder="1" applyAlignment="1" applyProtection="1">
      <alignment shrinkToFit="1"/>
      <protection locked="0"/>
    </xf>
    <xf numFmtId="0" fontId="0" fillId="12" borderId="237" xfId="0" applyFont="1" applyFill="1" applyBorder="1" applyAlignment="1" applyProtection="1">
      <alignment shrinkToFit="1"/>
      <protection locked="0"/>
    </xf>
    <xf numFmtId="0" fontId="0" fillId="12" borderId="238" xfId="0" applyFont="1" applyFill="1" applyBorder="1" applyAlignment="1" applyProtection="1">
      <alignment shrinkToFit="1"/>
      <protection locked="0"/>
    </xf>
    <xf numFmtId="0" fontId="0" fillId="12" borderId="179" xfId="0" applyFill="1" applyBorder="1" applyAlignment="1" applyProtection="1">
      <alignment shrinkToFit="1"/>
      <protection locked="0"/>
    </xf>
    <xf numFmtId="0" fontId="0" fillId="18" borderId="183" xfId="0" applyFont="1" applyFill="1" applyBorder="1" applyAlignment="1" applyProtection="1">
      <alignment shrinkToFit="1"/>
      <protection locked="0"/>
    </xf>
    <xf numFmtId="181" fontId="23" fillId="0" borderId="239" xfId="3" applyNumberFormat="1" applyFont="1" applyFill="1" applyBorder="1" applyAlignment="1" applyProtection="1">
      <alignment vertical="center"/>
    </xf>
    <xf numFmtId="182" fontId="9" fillId="0" borderId="239" xfId="3" applyNumberFormat="1" applyFont="1" applyFill="1" applyBorder="1" applyAlignment="1" applyProtection="1">
      <alignment horizontal="center" vertical="center"/>
    </xf>
    <xf numFmtId="4" fontId="23" fillId="0" borderId="239" xfId="3" applyNumberFormat="1" applyFont="1" applyFill="1" applyBorder="1" applyAlignment="1" applyProtection="1">
      <alignment vertical="center"/>
    </xf>
    <xf numFmtId="38" fontId="23" fillId="2" borderId="239" xfId="2" applyFont="1" applyFill="1" applyBorder="1" applyAlignment="1" applyProtection="1">
      <alignment vertical="center"/>
      <protection locked="0"/>
    </xf>
    <xf numFmtId="38" fontId="23" fillId="3" borderId="239" xfId="2" applyFont="1" applyFill="1" applyBorder="1" applyAlignment="1" applyProtection="1">
      <alignment horizontal="center" vertical="center"/>
      <protection locked="0"/>
    </xf>
    <xf numFmtId="38" fontId="23" fillId="11" borderId="239" xfId="2" applyFont="1" applyFill="1" applyBorder="1" applyAlignment="1" applyProtection="1">
      <alignment vertical="center"/>
      <protection locked="0"/>
    </xf>
    <xf numFmtId="38" fontId="23" fillId="2" borderId="240" xfId="2" applyFont="1" applyFill="1" applyBorder="1" applyAlignment="1" applyProtection="1">
      <alignment vertical="center"/>
      <protection locked="0"/>
    </xf>
    <xf numFmtId="9" fontId="23" fillId="2" borderId="241" xfId="1" applyFont="1" applyFill="1" applyBorder="1" applyAlignment="1" applyProtection="1">
      <alignment vertical="center"/>
      <protection locked="0"/>
    </xf>
    <xf numFmtId="9" fontId="23" fillId="2" borderId="239" xfId="1" applyFont="1" applyFill="1" applyBorder="1" applyAlignment="1" applyProtection="1">
      <alignment vertical="center"/>
      <protection locked="0"/>
    </xf>
    <xf numFmtId="9" fontId="23" fillId="2" borderId="242" xfId="1" applyFont="1" applyFill="1" applyBorder="1" applyAlignment="1" applyProtection="1">
      <alignment vertical="center"/>
      <protection locked="0"/>
    </xf>
    <xf numFmtId="181" fontId="23" fillId="7" borderId="243" xfId="3" applyNumberFormat="1" applyFont="1" applyFill="1" applyBorder="1" applyAlignment="1" applyProtection="1">
      <alignment vertical="center"/>
      <protection locked="0"/>
    </xf>
    <xf numFmtId="181" fontId="23" fillId="7" borderId="239" xfId="3" applyNumberFormat="1" applyFont="1" applyFill="1" applyBorder="1" applyAlignment="1" applyProtection="1">
      <alignment vertical="center"/>
      <protection locked="0"/>
    </xf>
    <xf numFmtId="181" fontId="23" fillId="7" borderId="240" xfId="3" applyNumberFormat="1" applyFont="1" applyFill="1" applyBorder="1" applyAlignment="1" applyProtection="1">
      <alignment vertical="center"/>
      <protection locked="0"/>
    </xf>
    <xf numFmtId="182" fontId="24" fillId="2" borderId="244" xfId="3" applyNumberFormat="1" applyFont="1" applyFill="1" applyBorder="1" applyAlignment="1" applyProtection="1">
      <alignment vertical="center"/>
      <protection locked="0"/>
    </xf>
    <xf numFmtId="200" fontId="23" fillId="0" borderId="239" xfId="3" applyNumberFormat="1" applyFont="1" applyFill="1" applyBorder="1" applyAlignment="1" applyProtection="1">
      <alignment vertical="center"/>
    </xf>
    <xf numFmtId="3" fontId="23" fillId="0" borderId="239" xfId="3" applyNumberFormat="1" applyFont="1" applyFill="1" applyBorder="1" applyAlignment="1" applyProtection="1">
      <alignment horizontal="center" vertical="center"/>
    </xf>
    <xf numFmtId="9" fontId="23" fillId="0" borderId="239" xfId="1" applyNumberFormat="1" applyFont="1" applyFill="1" applyBorder="1" applyAlignment="1" applyProtection="1">
      <alignment horizontal="center" vertical="center"/>
    </xf>
    <xf numFmtId="190" fontId="16" fillId="0" borderId="75" xfId="2" applyNumberFormat="1" applyFont="1" applyFill="1" applyBorder="1" applyAlignment="1" applyProtection="1">
      <alignment vertical="center"/>
    </xf>
    <xf numFmtId="0" fontId="23" fillId="0" borderId="142" xfId="6" applyFont="1" applyFill="1" applyBorder="1" applyAlignment="1" applyProtection="1">
      <alignment vertical="center" shrinkToFit="1"/>
    </xf>
    <xf numFmtId="0" fontId="23" fillId="0" borderId="63" xfId="6" applyFont="1" applyFill="1" applyBorder="1" applyAlignment="1" applyProtection="1">
      <alignment vertical="center" shrinkToFit="1"/>
    </xf>
    <xf numFmtId="0" fontId="23" fillId="0" borderId="11" xfId="6" applyFont="1" applyFill="1" applyBorder="1" applyAlignment="1" applyProtection="1">
      <alignment vertical="center" shrinkToFit="1"/>
    </xf>
    <xf numFmtId="0" fontId="23" fillId="0" borderId="7" xfId="6" applyNumberFormat="1" applyFont="1" applyFill="1" applyBorder="1" applyAlignment="1" applyProtection="1">
      <alignment horizontal="left" vertical="center" shrinkToFit="1"/>
    </xf>
    <xf numFmtId="0" fontId="23" fillId="0" borderId="6" xfId="6" applyNumberFormat="1" applyFont="1" applyFill="1" applyBorder="1" applyAlignment="1" applyProtection="1">
      <alignment horizontal="left" vertical="center" shrinkToFit="1"/>
    </xf>
    <xf numFmtId="0" fontId="23" fillId="0" borderId="23" xfId="6" applyFont="1" applyBorder="1" applyAlignment="1" applyProtection="1">
      <alignment vertical="center" shrinkToFit="1"/>
    </xf>
    <xf numFmtId="0" fontId="23" fillId="0" borderId="24" xfId="6" applyFont="1" applyBorder="1" applyAlignment="1" applyProtection="1">
      <alignment vertical="center" shrinkToFit="1"/>
    </xf>
    <xf numFmtId="0" fontId="16" fillId="0" borderId="10" xfId="6" applyFont="1" applyBorder="1" applyAlignment="1" applyProtection="1">
      <alignment horizontal="justify" vertical="center" indent="1"/>
    </xf>
    <xf numFmtId="0" fontId="23" fillId="0" borderId="10" xfId="6" applyFont="1" applyBorder="1" applyAlignment="1" applyProtection="1">
      <alignment vertical="center" shrinkToFit="1"/>
    </xf>
    <xf numFmtId="0" fontId="16" fillId="0" borderId="12" xfId="6" applyFont="1" applyBorder="1" applyAlignment="1" applyProtection="1">
      <alignment horizontal="center" vertical="center"/>
    </xf>
    <xf numFmtId="0" fontId="16" fillId="0" borderId="68" xfId="6" applyFont="1" applyBorder="1" applyAlignment="1" applyProtection="1">
      <alignment horizontal="center" vertical="center"/>
    </xf>
    <xf numFmtId="0" fontId="23" fillId="0" borderId="12" xfId="6" applyFont="1" applyBorder="1" applyAlignment="1" applyProtection="1">
      <alignment vertical="center"/>
    </xf>
    <xf numFmtId="0" fontId="0" fillId="0" borderId="10" xfId="6" applyFont="1" applyBorder="1" applyAlignment="1" applyProtection="1">
      <alignment horizontal="justify" vertical="center" indent="1"/>
    </xf>
    <xf numFmtId="0" fontId="23" fillId="0" borderId="142" xfId="6" applyFont="1" applyBorder="1" applyAlignment="1" applyProtection="1">
      <alignment vertical="center" shrinkToFit="1"/>
    </xf>
    <xf numFmtId="0" fontId="23" fillId="0" borderId="63" xfId="6" applyFont="1" applyBorder="1" applyAlignment="1" applyProtection="1">
      <alignment vertical="center" shrinkToFit="1"/>
    </xf>
    <xf numFmtId="0" fontId="23" fillId="0" borderId="11" xfId="6" applyFont="1" applyBorder="1" applyAlignment="1" applyProtection="1">
      <alignment vertical="center" shrinkToFit="1"/>
    </xf>
    <xf numFmtId="0" fontId="16" fillId="0" borderId="75" xfId="6" applyFont="1" applyBorder="1" applyAlignment="1" applyProtection="1">
      <alignment horizontal="center" vertical="center"/>
    </xf>
    <xf numFmtId="0" fontId="16" fillId="0" borderId="72" xfId="6" applyFont="1" applyBorder="1" applyAlignment="1" applyProtection="1">
      <alignment horizontal="center" vertical="center"/>
    </xf>
    <xf numFmtId="0" fontId="16" fillId="0" borderId="73" xfId="6" applyFont="1" applyBorder="1" applyAlignment="1" applyProtection="1">
      <alignment horizontal="center" vertical="center"/>
    </xf>
    <xf numFmtId="0" fontId="10" fillId="9" borderId="2" xfId="6" applyFont="1" applyFill="1" applyBorder="1" applyAlignment="1" applyProtection="1">
      <alignment horizontal="justify" vertical="center" indent="3"/>
    </xf>
    <xf numFmtId="0" fontId="16" fillId="0" borderId="31" xfId="6" applyFont="1" applyBorder="1" applyAlignment="1" applyProtection="1">
      <alignment horizontal="center" vertical="center" textRotation="255" wrapText="1"/>
    </xf>
    <xf numFmtId="0" fontId="16" fillId="0" borderId="17" xfId="6" applyFont="1" applyBorder="1" applyAlignment="1" applyProtection="1">
      <alignment horizontal="center" vertical="center" textRotation="255" wrapText="1"/>
    </xf>
    <xf numFmtId="0" fontId="16" fillId="0" borderId="153" xfId="6" applyFont="1" applyBorder="1" applyAlignment="1" applyProtection="1">
      <alignment horizontal="center" vertical="center" textRotation="255" wrapText="1"/>
    </xf>
    <xf numFmtId="0" fontId="16" fillId="0" borderId="20" xfId="6" applyFont="1" applyBorder="1" applyAlignment="1" applyProtection="1">
      <alignment horizontal="center" vertical="center" textRotation="255" wrapText="1"/>
    </xf>
    <xf numFmtId="0" fontId="16" fillId="0" borderId="152" xfId="6" applyFont="1" applyBorder="1" applyAlignment="1" applyProtection="1">
      <alignment horizontal="center" vertical="center" textRotation="255" wrapText="1"/>
    </xf>
    <xf numFmtId="0" fontId="16" fillId="0" borderId="19" xfId="6" applyFont="1" applyBorder="1" applyAlignment="1" applyProtection="1">
      <alignment horizontal="center" vertical="center" textRotation="255" wrapText="1"/>
    </xf>
    <xf numFmtId="0" fontId="16" fillId="0" borderId="15" xfId="6" applyFont="1" applyBorder="1" applyAlignment="1" applyProtection="1">
      <alignment horizontal="center" vertical="center" textRotation="255" wrapText="1"/>
    </xf>
    <xf numFmtId="0" fontId="0" fillId="0" borderId="137" xfId="6" applyFont="1" applyBorder="1" applyAlignment="1" applyProtection="1">
      <alignment horizontal="center" vertical="center" textRotation="255" wrapText="1"/>
    </xf>
    <xf numFmtId="0" fontId="16" fillId="0" borderId="137" xfId="6" applyFont="1" applyBorder="1" applyAlignment="1" applyProtection="1">
      <alignment horizontal="center" vertical="center" textRotation="255" wrapText="1"/>
    </xf>
    <xf numFmtId="0" fontId="16" fillId="0" borderId="138" xfId="6" applyFont="1" applyBorder="1" applyAlignment="1" applyProtection="1">
      <alignment horizontal="center" vertical="center" textRotation="255" wrapText="1"/>
    </xf>
    <xf numFmtId="0" fontId="0" fillId="0" borderId="136" xfId="6" applyFont="1" applyBorder="1" applyAlignment="1" applyProtection="1">
      <alignment horizontal="center" vertical="center" textRotation="255" wrapText="1"/>
    </xf>
    <xf numFmtId="0" fontId="16" fillId="0" borderId="4" xfId="6" applyFont="1" applyBorder="1" applyAlignment="1" applyProtection="1">
      <alignment horizontal="center" vertical="center"/>
    </xf>
    <xf numFmtId="0" fontId="16" fillId="0" borderId="22" xfId="6" applyFont="1" applyBorder="1" applyAlignment="1" applyProtection="1">
      <alignment horizontal="center" vertical="center"/>
    </xf>
    <xf numFmtId="0" fontId="16" fillId="0" borderId="8" xfId="6" applyFont="1" applyBorder="1" applyAlignment="1" applyProtection="1">
      <alignment horizontal="center" vertical="center" textRotation="255" wrapText="1"/>
    </xf>
    <xf numFmtId="0" fontId="16" fillId="0" borderId="155" xfId="6" applyFont="1" applyBorder="1" applyAlignment="1" applyProtection="1">
      <alignment horizontal="center" vertical="center" textRotation="255" wrapText="1"/>
    </xf>
    <xf numFmtId="0" fontId="10" fillId="9" borderId="2" xfId="6" applyFont="1" applyFill="1" applyBorder="1" applyAlignment="1" applyProtection="1">
      <alignment horizontal="center" vertical="center"/>
    </xf>
    <xf numFmtId="0" fontId="16" fillId="0" borderId="2" xfId="6" applyFont="1" applyBorder="1" applyAlignment="1" applyProtection="1">
      <alignment horizontal="center" vertical="center" textRotation="255"/>
    </xf>
    <xf numFmtId="0" fontId="16" fillId="0" borderId="192" xfId="6" applyFont="1" applyBorder="1" applyAlignment="1" applyProtection="1">
      <alignment horizontal="center" vertical="center" textRotation="255"/>
    </xf>
    <xf numFmtId="0" fontId="16" fillId="0" borderId="6" xfId="6" applyFont="1" applyBorder="1" applyAlignment="1" applyProtection="1">
      <alignment horizontal="justify" vertical="center" indent="1"/>
    </xf>
    <xf numFmtId="38" fontId="23" fillId="0" borderId="6" xfId="6" applyNumberFormat="1" applyFont="1" applyBorder="1" applyAlignment="1" applyProtection="1">
      <alignment vertical="center"/>
    </xf>
    <xf numFmtId="0" fontId="4" fillId="0" borderId="164" xfId="0" applyFont="1" applyBorder="1" applyAlignment="1" applyProtection="1">
      <alignment horizontal="center" vertical="center"/>
    </xf>
    <xf numFmtId="0" fontId="4" fillId="0" borderId="165" xfId="0" applyFont="1" applyBorder="1" applyAlignment="1" applyProtection="1">
      <alignment horizontal="center" vertical="center"/>
    </xf>
    <xf numFmtId="201" fontId="4" fillId="0" borderId="166" xfId="0" applyNumberFormat="1" applyFont="1" applyBorder="1" applyAlignment="1" applyProtection="1">
      <alignment horizontal="center"/>
    </xf>
    <xf numFmtId="201" fontId="4" fillId="0" borderId="134" xfId="0" applyNumberFormat="1" applyFont="1" applyBorder="1" applyAlignment="1" applyProtection="1">
      <alignment horizontal="center"/>
    </xf>
    <xf numFmtId="202" fontId="4" fillId="0" borderId="9" xfId="0" applyNumberFormat="1" applyFont="1" applyFill="1" applyBorder="1" applyAlignment="1" applyProtection="1">
      <alignment vertical="center"/>
    </xf>
    <xf numFmtId="202" fontId="4" fillId="0" borderId="51" xfId="0" applyNumberFormat="1" applyFont="1" applyFill="1" applyBorder="1" applyAlignment="1" applyProtection="1">
      <alignment vertical="center"/>
    </xf>
    <xf numFmtId="0" fontId="23" fillId="0" borderId="220" xfId="0" applyFont="1" applyBorder="1" applyAlignment="1" applyProtection="1">
      <alignment horizontal="center" vertical="center" wrapText="1" shrinkToFit="1"/>
    </xf>
    <xf numFmtId="0" fontId="23" fillId="0" borderId="221" xfId="0" applyFont="1" applyBorder="1" applyAlignment="1" applyProtection="1">
      <alignment horizontal="center" vertical="center" shrinkToFit="1"/>
    </xf>
    <xf numFmtId="0" fontId="23" fillId="0" borderId="128" xfId="0" applyFont="1" applyBorder="1" applyAlignment="1" applyProtection="1">
      <alignment horizontal="center" vertical="center" textRotation="255" shrinkToFit="1"/>
    </xf>
    <xf numFmtId="0" fontId="23" fillId="0" borderId="131" xfId="0" applyFont="1" applyBorder="1" applyAlignment="1" applyProtection="1">
      <alignment horizontal="center" vertical="center" textRotation="255" shrinkToFit="1"/>
    </xf>
    <xf numFmtId="0" fontId="23" fillId="0" borderId="168" xfId="0" applyFont="1" applyBorder="1" applyAlignment="1" applyProtection="1">
      <alignment horizontal="center" vertical="center" textRotation="255" shrinkToFit="1"/>
    </xf>
    <xf numFmtId="0" fontId="4" fillId="0" borderId="77" xfId="0" applyFont="1" applyBorder="1" applyAlignment="1" applyProtection="1">
      <alignment horizontal="center" vertical="center"/>
    </xf>
    <xf numFmtId="0" fontId="4" fillId="0" borderId="2" xfId="0" applyFont="1" applyBorder="1" applyAlignment="1" applyProtection="1">
      <alignment horizontal="center" vertical="center"/>
    </xf>
    <xf numFmtId="183" fontId="4" fillId="0" borderId="52" xfId="0" applyNumberFormat="1" applyFont="1" applyBorder="1" applyAlignment="1" applyProtection="1">
      <alignment horizontal="center" vertical="center"/>
    </xf>
    <xf numFmtId="183" fontId="4" fillId="0" borderId="54" xfId="0" applyNumberFormat="1" applyFont="1" applyBorder="1" applyAlignment="1" applyProtection="1">
      <alignment horizontal="center" vertical="center"/>
    </xf>
    <xf numFmtId="0" fontId="0" fillId="0" borderId="154" xfId="0" applyBorder="1" applyAlignment="1" applyProtection="1">
      <alignment horizontal="center" vertical="top"/>
    </xf>
    <xf numFmtId="0" fontId="0" fillId="0" borderId="55" xfId="0" applyBorder="1" applyProtection="1"/>
    <xf numFmtId="0" fontId="0" fillId="0" borderId="59" xfId="0" applyBorder="1" applyProtection="1"/>
    <xf numFmtId="0" fontId="4" fillId="0" borderId="3" xfId="0" applyFont="1" applyBorder="1" applyAlignment="1" applyProtection="1">
      <alignment horizontal="center" vertical="center"/>
    </xf>
    <xf numFmtId="183" fontId="4" fillId="0" borderId="77" xfId="0" applyNumberFormat="1" applyFont="1" applyBorder="1" applyAlignment="1" applyProtection="1">
      <alignment horizontal="center" vertical="center"/>
    </xf>
    <xf numFmtId="0" fontId="0" fillId="0" borderId="152" xfId="0" applyBorder="1" applyAlignment="1" applyProtection="1">
      <alignment horizontal="center"/>
    </xf>
    <xf numFmtId="0" fontId="0" fillId="0" borderId="153" xfId="0" applyBorder="1" applyProtection="1"/>
    <xf numFmtId="0" fontId="0" fillId="0" borderId="20" xfId="0" applyBorder="1" applyProtection="1"/>
    <xf numFmtId="202" fontId="4" fillId="0" borderId="149" xfId="0" applyNumberFormat="1" applyFont="1" applyFill="1" applyBorder="1" applyAlignment="1" applyProtection="1">
      <alignment vertical="center"/>
    </xf>
    <xf numFmtId="202" fontId="4" fillId="0" borderId="151" xfId="0" applyNumberFormat="1" applyFont="1" applyFill="1" applyBorder="1" applyAlignment="1" applyProtection="1">
      <alignment vertical="center"/>
    </xf>
    <xf numFmtId="194" fontId="16" fillId="20" borderId="118" xfId="12" applyNumberFormat="1" applyFill="1" applyBorder="1" applyAlignment="1" applyProtection="1">
      <protection locked="0"/>
    </xf>
    <xf numFmtId="0" fontId="31" fillId="0" borderId="120" xfId="15" applyBorder="1" applyAlignment="1" applyProtection="1">
      <protection locked="0"/>
    </xf>
    <xf numFmtId="0" fontId="16" fillId="19" borderId="118" xfId="12" applyFill="1" applyBorder="1" applyAlignment="1" applyProtection="1">
      <alignment horizontal="center"/>
    </xf>
    <xf numFmtId="0" fontId="16" fillId="0" borderId="119" xfId="14" applyBorder="1" applyAlignment="1">
      <alignment horizontal="center"/>
    </xf>
    <xf numFmtId="0" fontId="31" fillId="0" borderId="120" xfId="15" applyBorder="1" applyAlignment="1"/>
    <xf numFmtId="0" fontId="0" fillId="20" borderId="118" xfId="12" applyFont="1" applyFill="1" applyBorder="1" applyAlignment="1" applyProtection="1">
      <protection locked="0"/>
    </xf>
    <xf numFmtId="0" fontId="16" fillId="0" borderId="119" xfId="14" applyBorder="1" applyAlignment="1" applyProtection="1">
      <protection locked="0"/>
    </xf>
    <xf numFmtId="0" fontId="16" fillId="20" borderId="118" xfId="12" applyFont="1" applyFill="1" applyBorder="1" applyAlignment="1" applyProtection="1">
      <protection locked="0"/>
    </xf>
    <xf numFmtId="0" fontId="16" fillId="0" borderId="121" xfId="12" applyFont="1" applyBorder="1" applyAlignment="1">
      <alignment vertical="top"/>
    </xf>
    <xf numFmtId="0" fontId="16" fillId="0" borderId="122" xfId="12" applyFont="1" applyBorder="1" applyAlignment="1">
      <alignment vertical="top"/>
    </xf>
    <xf numFmtId="0" fontId="31" fillId="0" borderId="123" xfId="15" applyBorder="1" applyAlignment="1">
      <alignment vertical="center"/>
    </xf>
    <xf numFmtId="0" fontId="0" fillId="20" borderId="170" xfId="12" applyFont="1" applyFill="1" applyBorder="1" applyAlignment="1" applyProtection="1">
      <alignment vertical="top" wrapText="1"/>
      <protection locked="0"/>
    </xf>
    <xf numFmtId="0" fontId="16" fillId="20" borderId="170" xfId="12" applyFont="1" applyFill="1" applyBorder="1" applyAlignment="1" applyProtection="1">
      <alignment vertical="top" wrapText="1"/>
      <protection locked="0"/>
    </xf>
    <xf numFmtId="0" fontId="31" fillId="0" borderId="170" xfId="15" applyBorder="1" applyAlignment="1" applyProtection="1">
      <alignment vertical="center" wrapText="1"/>
      <protection locked="0"/>
    </xf>
    <xf numFmtId="0" fontId="16" fillId="20" borderId="210" xfId="12" applyFont="1" applyFill="1" applyBorder="1" applyAlignment="1" applyProtection="1">
      <alignment vertical="top" wrapText="1"/>
      <protection locked="0"/>
    </xf>
    <xf numFmtId="0" fontId="31" fillId="0" borderId="210" xfId="15" applyBorder="1" applyAlignment="1" applyProtection="1">
      <alignment vertical="center" wrapText="1"/>
      <protection locked="0"/>
    </xf>
    <xf numFmtId="0" fontId="31" fillId="0" borderId="123" xfId="15" applyBorder="1" applyAlignment="1" applyProtection="1">
      <alignment vertical="center" wrapText="1"/>
      <protection locked="0"/>
    </xf>
    <xf numFmtId="0" fontId="3" fillId="20" borderId="118" xfId="12" applyFont="1" applyFill="1" applyBorder="1" applyAlignment="1" applyProtection="1">
      <protection locked="0"/>
    </xf>
    <xf numFmtId="0" fontId="16" fillId="20" borderId="118" xfId="12" applyFill="1" applyBorder="1" applyAlignment="1" applyProtection="1">
      <protection locked="0"/>
    </xf>
    <xf numFmtId="0" fontId="23" fillId="9" borderId="2" xfId="7" applyFont="1" applyFill="1" applyBorder="1" applyAlignment="1" applyProtection="1">
      <alignment horizontal="center" vertical="top" textRotation="255" wrapText="1"/>
    </xf>
    <xf numFmtId="0" fontId="23" fillId="9" borderId="3" xfId="7" applyFont="1" applyFill="1" applyBorder="1" applyAlignment="1" applyProtection="1">
      <alignment horizontal="center" wrapText="1"/>
    </xf>
    <xf numFmtId="0" fontId="23" fillId="6" borderId="30" xfId="0" applyFont="1" applyFill="1" applyBorder="1" applyProtection="1"/>
    <xf numFmtId="0" fontId="23" fillId="6" borderId="4" xfId="0" applyFont="1" applyFill="1" applyBorder="1" applyProtection="1"/>
    <xf numFmtId="0" fontId="30" fillId="10" borderId="2" xfId="7" applyFont="1" applyFill="1" applyBorder="1" applyAlignment="1" applyProtection="1">
      <alignment horizontal="center" vertical="center" textRotation="255" wrapText="1"/>
    </xf>
    <xf numFmtId="0" fontId="23" fillId="9" borderId="2" xfId="7" applyFont="1" applyFill="1" applyBorder="1" applyAlignment="1" applyProtection="1">
      <alignment horizontal="center" vertical="center"/>
    </xf>
    <xf numFmtId="0" fontId="10" fillId="0" borderId="21" xfId="7" applyNumberFormat="1" applyFont="1" applyFill="1" applyBorder="1" applyAlignment="1" applyProtection="1">
      <alignment horizontal="right" shrinkToFit="1"/>
    </xf>
    <xf numFmtId="0" fontId="23" fillId="9" borderId="2" xfId="7" applyFont="1" applyFill="1" applyBorder="1" applyAlignment="1" applyProtection="1">
      <alignment horizontal="center" vertical="center" textRotation="255"/>
    </xf>
    <xf numFmtId="0" fontId="23" fillId="0" borderId="8" xfId="0" applyFont="1" applyBorder="1" applyAlignment="1" applyProtection="1">
      <alignment vertical="center" textRotation="255"/>
    </xf>
    <xf numFmtId="0" fontId="23" fillId="0" borderId="19" xfId="0" applyFont="1" applyBorder="1" applyAlignment="1" applyProtection="1">
      <alignment vertical="center" textRotation="255"/>
    </xf>
    <xf numFmtId="0" fontId="23" fillId="0" borderId="155" xfId="0" applyFont="1" applyBorder="1" applyAlignment="1" applyProtection="1">
      <alignment vertical="center" textRotation="255"/>
    </xf>
    <xf numFmtId="0" fontId="23" fillId="0" borderId="15" xfId="0" applyFont="1" applyBorder="1" applyAlignment="1" applyProtection="1">
      <alignment vertical="center" textRotation="255"/>
    </xf>
    <xf numFmtId="0" fontId="23" fillId="0" borderId="2" xfId="7" applyFont="1" applyBorder="1" applyAlignment="1" applyProtection="1">
      <alignment vertical="center" textRotation="255" wrapText="1"/>
    </xf>
    <xf numFmtId="0" fontId="23" fillId="2" borderId="6" xfId="7"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9" borderId="8" xfId="7" applyFont="1" applyFill="1" applyBorder="1" applyAlignment="1" applyProtection="1">
      <alignment horizontal="center" wrapText="1"/>
    </xf>
    <xf numFmtId="0" fontId="23" fillId="2" borderId="149" xfId="7" applyFont="1" applyFill="1" applyBorder="1" applyAlignment="1" applyProtection="1">
      <alignment vertical="center"/>
      <protection locked="0"/>
    </xf>
    <xf numFmtId="0" fontId="23" fillId="2" borderId="150" xfId="7" applyFont="1" applyFill="1" applyBorder="1" applyAlignment="1" applyProtection="1">
      <alignment vertical="center"/>
      <protection locked="0"/>
    </xf>
    <xf numFmtId="0" fontId="23" fillId="2" borderId="9" xfId="7" applyFont="1" applyFill="1" applyBorder="1" applyAlignment="1" applyProtection="1">
      <alignment vertical="center"/>
      <protection locked="0"/>
    </xf>
    <xf numFmtId="0" fontId="23" fillId="2" borderId="11" xfId="7" applyFont="1" applyFill="1" applyBorder="1" applyAlignment="1" applyProtection="1">
      <alignment vertical="center"/>
      <protection locked="0"/>
    </xf>
    <xf numFmtId="0" fontId="23" fillId="0" borderId="13" xfId="7" applyFont="1" applyBorder="1" applyAlignment="1" applyProtection="1">
      <alignment horizontal="center" vertical="center"/>
    </xf>
    <xf numFmtId="0" fontId="23" fillId="0" borderId="14" xfId="7" applyFont="1" applyBorder="1" applyAlignment="1" applyProtection="1">
      <alignment horizontal="center" vertical="center"/>
    </xf>
    <xf numFmtId="0" fontId="23" fillId="0" borderId="0" xfId="0" applyFont="1" applyBorder="1" applyAlignment="1" applyProtection="1">
      <alignment vertical="center" shrinkToFit="1"/>
    </xf>
    <xf numFmtId="0" fontId="23" fillId="0" borderId="18" xfId="0" applyFont="1" applyBorder="1" applyAlignment="1" applyProtection="1">
      <alignment vertical="center" shrinkToFit="1"/>
    </xf>
    <xf numFmtId="0" fontId="0" fillId="2" borderId="37" xfId="0" applyFont="1" applyFill="1" applyBorder="1" applyAlignment="1" applyProtection="1">
      <alignment horizontal="center" vertical="center" shrinkToFi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4" xfId="0" applyFont="1" applyBorder="1" applyAlignment="1" applyProtection="1">
      <alignment horizontal="center" vertical="center" wrapText="1"/>
    </xf>
    <xf numFmtId="40" fontId="0" fillId="0" borderId="8" xfId="2" applyNumberFormat="1" applyFont="1" applyFill="1" applyBorder="1" applyAlignment="1" applyProtection="1">
      <alignment horizontal="center" vertical="center" wrapText="1"/>
    </xf>
    <xf numFmtId="40" fontId="0" fillId="0" borderId="74" xfId="2" applyNumberFormat="1" applyFont="1" applyFill="1" applyBorder="1" applyAlignment="1" applyProtection="1">
      <alignment horizontal="center" vertical="center" wrapText="1"/>
    </xf>
    <xf numFmtId="0" fontId="0" fillId="7" borderId="8" xfId="0" applyFont="1" applyFill="1" applyBorder="1" applyAlignment="1" applyProtection="1">
      <alignment horizontal="center" vertical="center" wrapText="1"/>
    </xf>
    <xf numFmtId="0" fontId="0" fillId="0" borderId="74" xfId="0" applyBorder="1" applyProtection="1"/>
    <xf numFmtId="179" fontId="0" fillId="2" borderId="207" xfId="2" applyNumberFormat="1" applyFont="1" applyFill="1" applyBorder="1" applyAlignment="1" applyProtection="1">
      <alignment horizontal="center" vertical="center" wrapText="1"/>
    </xf>
    <xf numFmtId="179" fontId="0" fillId="2" borderId="74" xfId="2" applyNumberFormat="1" applyFont="1" applyFill="1" applyBorder="1" applyAlignment="1" applyProtection="1">
      <alignment horizontal="center" vertical="center" wrapText="1"/>
    </xf>
    <xf numFmtId="179" fontId="0" fillId="2" borderId="8" xfId="2" applyNumberFormat="1" applyFont="1" applyFill="1" applyBorder="1" applyAlignment="1" applyProtection="1">
      <alignment horizontal="center" vertical="center" wrapText="1"/>
    </xf>
    <xf numFmtId="40" fontId="0" fillId="0" borderId="83" xfId="2" applyNumberFormat="1" applyFont="1" applyFill="1" applyBorder="1" applyAlignment="1" applyProtection="1">
      <alignment horizontal="center" vertical="center" wrapText="1"/>
    </xf>
    <xf numFmtId="40" fontId="0" fillId="0" borderId="70" xfId="2" applyNumberFormat="1" applyFont="1" applyFill="1" applyBorder="1" applyAlignment="1" applyProtection="1">
      <alignment horizontal="center" vertical="center" wrapText="1"/>
    </xf>
    <xf numFmtId="0" fontId="0" fillId="0" borderId="67" xfId="0" applyBorder="1" applyAlignment="1" applyProtection="1">
      <alignment horizontal="center" vertical="center" wrapText="1"/>
    </xf>
    <xf numFmtId="0" fontId="0" fillId="0" borderId="67" xfId="0" applyFont="1" applyBorder="1" applyAlignment="1" applyProtection="1">
      <alignment horizontal="center" vertical="center" wrapText="1"/>
    </xf>
    <xf numFmtId="0" fontId="0" fillId="0" borderId="66" xfId="0" applyFont="1" applyBorder="1" applyAlignment="1" applyProtection="1">
      <alignment horizontal="center" vertical="center" wrapText="1"/>
    </xf>
    <xf numFmtId="0" fontId="0" fillId="3" borderId="78" xfId="0" applyFont="1" applyFill="1" applyBorder="1" applyAlignment="1" applyProtection="1">
      <alignment horizontal="center" vertical="center" wrapText="1"/>
    </xf>
    <xf numFmtId="0" fontId="0" fillId="3" borderId="79" xfId="0" applyFont="1" applyFill="1" applyBorder="1" applyAlignment="1" applyProtection="1">
      <alignment horizontal="center" vertical="center" wrapText="1"/>
    </xf>
    <xf numFmtId="0" fontId="0" fillId="7" borderId="79" xfId="0" applyFont="1" applyFill="1" applyBorder="1" applyAlignment="1" applyProtection="1">
      <alignment horizontal="center" vertical="center" wrapText="1"/>
    </xf>
    <xf numFmtId="0" fontId="0" fillId="2" borderId="79" xfId="0" applyFill="1" applyBorder="1" applyAlignment="1" applyProtection="1">
      <alignment horizontal="center" vertical="center" wrapText="1"/>
    </xf>
    <xf numFmtId="0" fontId="0" fillId="2" borderId="79" xfId="0" applyFont="1" applyFill="1" applyBorder="1" applyAlignment="1" applyProtection="1">
      <alignment horizontal="center" vertical="center" wrapText="1"/>
    </xf>
    <xf numFmtId="197" fontId="0" fillId="0" borderId="175" xfId="0" applyNumberFormat="1" applyBorder="1" applyAlignment="1">
      <alignment horizontal="center" vertical="center" wrapText="1"/>
    </xf>
    <xf numFmtId="197" fontId="0" fillId="0" borderId="191" xfId="0" applyNumberFormat="1" applyFont="1" applyBorder="1" applyAlignment="1">
      <alignment horizontal="center" vertical="center"/>
    </xf>
    <xf numFmtId="197" fontId="22" fillId="0" borderId="163" xfId="0" applyNumberFormat="1" applyFont="1" applyBorder="1" applyAlignment="1">
      <alignment horizontal="center" vertical="center"/>
    </xf>
    <xf numFmtId="197" fontId="22" fillId="0" borderId="164" xfId="0" applyNumberFormat="1" applyFont="1" applyBorder="1" applyAlignment="1">
      <alignment horizontal="center" vertical="center"/>
    </xf>
    <xf numFmtId="197" fontId="22" fillId="0" borderId="165" xfId="0" applyNumberFormat="1" applyFont="1" applyBorder="1" applyAlignment="1">
      <alignment horizontal="center" vertical="center"/>
    </xf>
    <xf numFmtId="197" fontId="0" fillId="0" borderId="176" xfId="0" applyNumberFormat="1" applyFont="1" applyBorder="1" applyAlignment="1">
      <alignment horizontal="center" vertical="center"/>
    </xf>
    <xf numFmtId="197" fontId="0" fillId="0" borderId="186" xfId="0" applyNumberFormat="1" applyBorder="1" applyAlignment="1">
      <alignment horizontal="center" vertical="center" wrapText="1"/>
    </xf>
    <xf numFmtId="197" fontId="0" fillId="0" borderId="156" xfId="0" applyNumberFormat="1" applyFont="1" applyBorder="1" applyAlignment="1">
      <alignment horizontal="center" vertical="center"/>
    </xf>
    <xf numFmtId="197" fontId="0" fillId="0" borderId="175" xfId="0" applyNumberFormat="1" applyBorder="1" applyAlignment="1">
      <alignment horizontal="center" vertical="center"/>
    </xf>
    <xf numFmtId="197" fontId="0" fillId="0" borderId="236" xfId="0" applyNumberFormat="1" applyFont="1" applyBorder="1" applyAlignment="1">
      <alignment horizontal="center" vertical="center"/>
    </xf>
    <xf numFmtId="0" fontId="26" fillId="0" borderId="0" xfId="3" applyNumberFormat="1" applyFont="1" applyBorder="1" applyAlignment="1" applyProtection="1">
      <alignment horizontal="center"/>
    </xf>
    <xf numFmtId="0" fontId="23" fillId="25" borderId="84" xfId="3" applyFont="1" applyFill="1" applyBorder="1" applyAlignment="1" applyProtection="1">
      <alignment horizontal="center" vertical="center" textRotation="255"/>
    </xf>
    <xf numFmtId="0" fontId="23" fillId="25" borderId="91" xfId="3" applyFont="1" applyFill="1" applyBorder="1" applyAlignment="1" applyProtection="1">
      <alignment horizontal="center" vertical="center" textRotation="255"/>
    </xf>
    <xf numFmtId="0" fontId="23" fillId="25" borderId="93" xfId="3" applyFont="1" applyFill="1" applyBorder="1" applyAlignment="1" applyProtection="1">
      <alignment horizontal="center" vertical="center" textRotation="255"/>
    </xf>
    <xf numFmtId="0" fontId="9" fillId="25" borderId="84" xfId="3" applyFont="1" applyFill="1" applyBorder="1" applyAlignment="1" applyProtection="1">
      <alignment horizontal="center" vertical="center" textRotation="255" wrapText="1"/>
    </xf>
    <xf numFmtId="0" fontId="9" fillId="25" borderId="91" xfId="3" applyFont="1" applyFill="1" applyBorder="1" applyAlignment="1" applyProtection="1">
      <alignment horizontal="center" vertical="center" textRotation="255"/>
    </xf>
    <xf numFmtId="0" fontId="9" fillId="25" borderId="93" xfId="3" applyFont="1" applyFill="1" applyBorder="1" applyAlignment="1" applyProtection="1">
      <alignment horizontal="center" vertical="center" textRotation="255"/>
    </xf>
    <xf numFmtId="0" fontId="23" fillId="25" borderId="111" xfId="3" applyFont="1" applyFill="1" applyBorder="1" applyAlignment="1" applyProtection="1">
      <alignment horizontal="center" vertical="center" textRotation="255"/>
    </xf>
    <xf numFmtId="0" fontId="23" fillId="25" borderId="112" xfId="3" applyFont="1" applyFill="1" applyBorder="1" applyAlignment="1" applyProtection="1">
      <alignment horizontal="center" vertical="center" textRotation="255"/>
    </xf>
    <xf numFmtId="0" fontId="23" fillId="25" borderId="180" xfId="3" applyFont="1" applyFill="1" applyBorder="1" applyAlignment="1" applyProtection="1">
      <alignment horizontal="center" vertical="center" textRotation="255"/>
    </xf>
    <xf numFmtId="0" fontId="23" fillId="25" borderId="131" xfId="3" applyFont="1" applyFill="1" applyBorder="1" applyAlignment="1" applyProtection="1">
      <alignment horizontal="center" vertical="center" textRotation="255"/>
    </xf>
    <xf numFmtId="0" fontId="23" fillId="25" borderId="206" xfId="3" applyFont="1" applyFill="1" applyBorder="1" applyAlignment="1" applyProtection="1">
      <alignment horizontal="center" vertical="center" textRotation="255"/>
    </xf>
    <xf numFmtId="0" fontId="23" fillId="25" borderId="84" xfId="3" applyFont="1" applyFill="1" applyBorder="1" applyAlignment="1" applyProtection="1">
      <alignment horizontal="center" vertical="center" textRotation="255" wrapText="1"/>
    </xf>
  </cellXfs>
  <cellStyles count="30">
    <cellStyle name="パーセント" xfId="1" builtinId="5"/>
    <cellStyle name="パーセント 2" xfId="10"/>
    <cellStyle name="桁区切り" xfId="2" builtinId="6"/>
    <cellStyle name="桁区切り 2" xfId="11"/>
    <cellStyle name="桁区切り 2 2" xfId="16"/>
    <cellStyle name="桁区切り 2 3" xfId="17"/>
    <cellStyle name="桁区切り 3" xfId="18"/>
    <cellStyle name="標準" xfId="0" builtinId="0"/>
    <cellStyle name="標準 10" xfId="19"/>
    <cellStyle name="標準 11" xfId="20"/>
    <cellStyle name="標準 2" xfId="8"/>
    <cellStyle name="標準 2 2" xfId="21"/>
    <cellStyle name="標準 2 3" xfId="22"/>
    <cellStyle name="標準 3" xfId="9"/>
    <cellStyle name="標準 4" xfId="23"/>
    <cellStyle name="標準 5" xfId="24"/>
    <cellStyle name="標準 6" xfId="25"/>
    <cellStyle name="標準 7" xfId="26"/>
    <cellStyle name="標準 8" xfId="27"/>
    <cellStyle name="標準 8 2" xfId="15"/>
    <cellStyle name="標準 9" xfId="28"/>
    <cellStyle name="標準_4.物財費" xfId="3"/>
    <cellStyle name="標準_Bfm" xfId="13"/>
    <cellStyle name="標準_BFM_1_Bfm_1 2" xfId="12"/>
    <cellStyle name="標準_Sheet1" xfId="4"/>
    <cellStyle name="標準_Sheet3" xfId="5"/>
    <cellStyle name="標準_経済性" xfId="6"/>
    <cellStyle name="標準_指標編集・営農条件シート_修正案_Bfm 2" xfId="14"/>
    <cellStyle name="標準_施設機械装備" xfId="7"/>
    <cellStyle name="未定義" xfId="2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0"/>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69FF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99FF66"/>
      <color rgb="FFCCFF99"/>
      <color rgb="FF99FF99"/>
      <color rgb="FF99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133350</xdr:rowOff>
    </xdr:from>
    <xdr:to>
      <xdr:col>3</xdr:col>
      <xdr:colOff>9525</xdr:colOff>
      <xdr:row>8</xdr:row>
      <xdr:rowOff>0</xdr:rowOff>
    </xdr:to>
    <xdr:sp macro="" textlink="">
      <xdr:nvSpPr>
        <xdr:cNvPr id="5235" name="Line 3"/>
        <xdr:cNvSpPr>
          <a:spLocks noChangeShapeType="1"/>
        </xdr:cNvSpPr>
      </xdr:nvSpPr>
      <xdr:spPr bwMode="auto">
        <a:xfrm>
          <a:off x="209550" y="504825"/>
          <a:ext cx="1485900" cy="800100"/>
        </a:xfrm>
        <a:prstGeom prst="line">
          <a:avLst/>
        </a:prstGeom>
        <a:noFill/>
        <a:ln w="9360">
          <a:solidFill>
            <a:srgbClr val="000000"/>
          </a:solidFill>
          <a:miter lim="800000"/>
          <a:headEnd/>
          <a:tailEnd/>
        </a:ln>
      </xdr:spPr>
    </xdr:sp>
    <xdr:clientData/>
  </xdr:twoCellAnchor>
  <xdr:twoCellAnchor>
    <xdr:from>
      <xdr:col>34</xdr:col>
      <xdr:colOff>142875</xdr:colOff>
      <xdr:row>38</xdr:row>
      <xdr:rowOff>38100</xdr:rowOff>
    </xdr:from>
    <xdr:to>
      <xdr:col>38</xdr:col>
      <xdr:colOff>409575</xdr:colOff>
      <xdr:row>45</xdr:row>
      <xdr:rowOff>133350</xdr:rowOff>
    </xdr:to>
    <xdr:sp macro="" textlink="">
      <xdr:nvSpPr>
        <xdr:cNvPr id="3" name="テキスト ボックス 2"/>
        <xdr:cNvSpPr txBox="1"/>
      </xdr:nvSpPr>
      <xdr:spPr>
        <a:xfrm>
          <a:off x="16964025" y="7667625"/>
          <a:ext cx="2171700"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100"/>
            <a:t>○播種</a:t>
          </a:r>
          <a:endParaRPr kumimoji="1" lang="en-US" altLang="ja-JP" sz="1100"/>
        </a:p>
        <a:p>
          <a:r>
            <a:rPr kumimoji="1" lang="en-US" altLang="ja-JP" sz="1100"/>
            <a:t>―</a:t>
          </a:r>
          <a:r>
            <a:rPr kumimoji="1" lang="ja-JP" altLang="en-US" sz="1100"/>
            <a:t>栽培期間</a:t>
          </a:r>
          <a:endParaRPr kumimoji="1" lang="en-US" altLang="ja-JP" sz="1100"/>
        </a:p>
        <a:p>
          <a:r>
            <a:rPr kumimoji="1" lang="ja-JP" altLang="en-US" sz="1100"/>
            <a:t>■収穫</a:t>
          </a:r>
          <a:endParaRPr kumimoji="1" lang="en-US" altLang="ja-JP" sz="1100"/>
        </a:p>
        <a:p>
          <a:endParaRPr kumimoji="1" lang="en-US" altLang="ja-JP" sz="1100"/>
        </a:p>
        <a:p>
          <a:r>
            <a:rPr kumimoji="1" lang="ja-JP" altLang="en-US" sz="1100"/>
            <a:t>△中耕・土入れ・踏圧</a:t>
          </a:r>
          <a:endParaRPr kumimoji="1" lang="en-US" altLang="ja-JP" sz="1100"/>
        </a:p>
        <a:p>
          <a:r>
            <a:rPr kumimoji="1" lang="ja-JP" altLang="en-US" sz="1100"/>
            <a:t>▲追肥</a:t>
          </a:r>
          <a:endParaRPr kumimoji="1" lang="en-US" altLang="ja-JP" sz="1100"/>
        </a:p>
        <a:p>
          <a:r>
            <a:rPr kumimoji="1" lang="ja-JP" altLang="en-US" sz="1100"/>
            <a:t>▽病害虫防除</a:t>
          </a:r>
          <a:endParaRPr kumimoji="1" lang="en-US" altLang="ja-JP" sz="1100"/>
        </a:p>
        <a:p>
          <a:r>
            <a:rPr kumimoji="1" lang="ja-JP" altLang="en-US" sz="1100"/>
            <a:t>▼除草剤散布</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12488;&#12510;&#12488;&#22799;&#31179;&#20316;Ver1_2&#65288;&#26368;&#3206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ikaku\160615%20&#26368;&#32066;&#29256;%20-%20&#12467;&#12500;&#12540;\(&#40778;&#34276;&#20462;&#29983;&#29256;2)007_&#65295;&#20307;&#31995;07_&#20908;&#26149;&#12488;&#12510;&#12488;_H27_&#20462;&#27491;&#29256;_&#32076;&#21942;&#21454;&#25903;_-z-bf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収支"/>
      <sheetName val="技術体系入力"/>
      <sheetName val="償却資産"/>
      <sheetName val="収支入力"/>
      <sheetName val="労働時間"/>
      <sheetName val="作業体系"/>
      <sheetName val="損益分岐点グラフ"/>
      <sheetName val="科目集計用"/>
      <sheetName val="機械必要台数試算表"/>
      <sheetName val="育成費計算"/>
      <sheetName val="作業可能日数率"/>
      <sheetName val="科目設定"/>
    </sheetNames>
    <sheetDataSet>
      <sheetData sheetId="0"/>
      <sheetData sheetId="1">
        <row r="2">
          <cell r="B2" t="str">
            <v>トマト（雨よけ）</v>
          </cell>
        </row>
      </sheetData>
      <sheetData sheetId="2">
        <row r="1">
          <cell r="E1">
            <v>30</v>
          </cell>
        </row>
      </sheetData>
      <sheetData sheetId="3"/>
      <sheetData sheetId="4"/>
      <sheetData sheetId="5">
        <row r="4">
          <cell r="A4" t="str">
            <v>育苗管理</v>
          </cell>
        </row>
      </sheetData>
      <sheetData sheetId="6" refreshError="1"/>
      <sheetData sheetId="7">
        <row r="3">
          <cell r="H3">
            <v>10000</v>
          </cell>
        </row>
        <row r="7">
          <cell r="I7">
            <v>2736160</v>
          </cell>
        </row>
        <row r="110">
          <cell r="I110">
            <v>1763304.7797959184</v>
          </cell>
        </row>
        <row r="111">
          <cell r="I111">
            <v>395003.06060606061</v>
          </cell>
        </row>
      </sheetData>
      <sheetData sheetId="8" refreshError="1"/>
      <sheetData sheetId="9" refreshError="1"/>
      <sheetData sheetId="10" refreshError="1"/>
      <sheetData sheetId="11">
        <row r="1">
          <cell r="C1" t="str">
            <v>粗収益</v>
          </cell>
          <cell r="D1" t="str">
            <v>種苗費</v>
          </cell>
          <cell r="E1" t="str">
            <v>肥料費</v>
          </cell>
          <cell r="F1" t="str">
            <v>農業薬剤費</v>
          </cell>
          <cell r="G1" t="str">
            <v>動力・光熱費</v>
          </cell>
          <cell r="H1" t="str">
            <v>諸材料費</v>
          </cell>
          <cell r="I1" t="str">
            <v>農具費</v>
          </cell>
          <cell r="J1" t="str">
            <v>土地改良・水利費</v>
          </cell>
          <cell r="K1" t="str">
            <v>賃借料・利用料</v>
          </cell>
          <cell r="L1" t="str">
            <v>雇用労働費</v>
          </cell>
          <cell r="M1" t="str">
            <v>販売費用</v>
          </cell>
          <cell r="N1" t="str">
            <v>管理費用</v>
          </cell>
        </row>
        <row r="2">
          <cell r="P2" t="str">
            <v>1月上旬</v>
          </cell>
          <cell r="Q2" t="str">
            <v>Kg</v>
          </cell>
          <cell r="S2" t="str">
            <v>ガソリン</v>
          </cell>
          <cell r="U2" t="str">
            <v>固定</v>
          </cell>
          <cell r="W2" t="str">
            <v>01岩国</v>
          </cell>
        </row>
        <row r="3">
          <cell r="P3" t="str">
            <v>1月中旬</v>
          </cell>
          <cell r="Q3" t="str">
            <v>t</v>
          </cell>
          <cell r="S3" t="str">
            <v>軽油</v>
          </cell>
          <cell r="U3" t="str">
            <v>変動</v>
          </cell>
          <cell r="W3" t="str">
            <v>02柳井</v>
          </cell>
        </row>
        <row r="4">
          <cell r="P4" t="str">
            <v>1月下旬</v>
          </cell>
          <cell r="Q4" t="str">
            <v>g</v>
          </cell>
          <cell r="S4" t="str">
            <v>混合油</v>
          </cell>
          <cell r="U4" t="str">
            <v>不明</v>
          </cell>
          <cell r="W4" t="str">
            <v>03玖珂</v>
          </cell>
        </row>
        <row r="5">
          <cell r="P5" t="str">
            <v>2月上旬</v>
          </cell>
          <cell r="Q5" t="str">
            <v>ml</v>
          </cell>
          <cell r="S5" t="str">
            <v>Ａ重油</v>
          </cell>
          <cell r="W5" t="str">
            <v>04下松</v>
          </cell>
        </row>
        <row r="6">
          <cell r="P6" t="str">
            <v>2月中旬</v>
          </cell>
          <cell r="Q6" t="str">
            <v>ﾘｯﾄﾙ</v>
          </cell>
          <cell r="S6" t="str">
            <v>電気料</v>
          </cell>
          <cell r="W6" t="str">
            <v>05防府</v>
          </cell>
        </row>
        <row r="7">
          <cell r="P7" t="str">
            <v>2月下旬</v>
          </cell>
          <cell r="Q7" t="str">
            <v>錠</v>
          </cell>
          <cell r="S7" t="str">
            <v>畑潅水使用料</v>
          </cell>
          <cell r="W7" t="str">
            <v>06山口</v>
          </cell>
        </row>
        <row r="8">
          <cell r="P8" t="str">
            <v>3月上旬</v>
          </cell>
          <cell r="Q8" t="str">
            <v>m</v>
          </cell>
          <cell r="S8" t="str">
            <v>灯油</v>
          </cell>
          <cell r="W8" t="str">
            <v>07秋吉台</v>
          </cell>
        </row>
        <row r="9">
          <cell r="P9" t="str">
            <v>3月中旬</v>
          </cell>
          <cell r="Q9" t="str">
            <v>cc</v>
          </cell>
          <cell r="W9" t="str">
            <v>08宇部</v>
          </cell>
        </row>
        <row r="10">
          <cell r="P10" t="str">
            <v>3月下旬</v>
          </cell>
          <cell r="Q10" t="str">
            <v>mg</v>
          </cell>
          <cell r="W10" t="str">
            <v>09下関</v>
          </cell>
        </row>
        <row r="11">
          <cell r="P11" t="str">
            <v>4月上旬</v>
          </cell>
          <cell r="Q11" t="str">
            <v>本</v>
          </cell>
          <cell r="W11" t="str">
            <v>10豊田</v>
          </cell>
        </row>
        <row r="12">
          <cell r="P12" t="str">
            <v>4月中旬</v>
          </cell>
          <cell r="Q12" t="str">
            <v>個</v>
          </cell>
          <cell r="W12" t="str">
            <v>11油谷</v>
          </cell>
        </row>
        <row r="13">
          <cell r="P13" t="str">
            <v>4月下旬</v>
          </cell>
          <cell r="Q13" t="str">
            <v>kw</v>
          </cell>
          <cell r="W13" t="str">
            <v>12萩</v>
          </cell>
        </row>
        <row r="14">
          <cell r="P14" t="str">
            <v>5月上旬</v>
          </cell>
          <cell r="Q14" t="str">
            <v>袋</v>
          </cell>
          <cell r="W14" t="str">
            <v>13徳佐</v>
          </cell>
        </row>
        <row r="15">
          <cell r="P15" t="str">
            <v>5月中旬</v>
          </cell>
          <cell r="Q15" t="str">
            <v>箱</v>
          </cell>
          <cell r="W15" t="str">
            <v>14須佐</v>
          </cell>
        </row>
        <row r="16">
          <cell r="P16" t="str">
            <v>5月下旬</v>
          </cell>
          <cell r="Q16" t="str">
            <v>円</v>
          </cell>
        </row>
        <row r="17">
          <cell r="P17" t="str">
            <v>6月上旬</v>
          </cell>
          <cell r="Q17" t="str">
            <v>枚</v>
          </cell>
        </row>
        <row r="18">
          <cell r="P18" t="str">
            <v>6月中旬</v>
          </cell>
          <cell r="Q18" t="str">
            <v>組</v>
          </cell>
        </row>
        <row r="19">
          <cell r="P19" t="str">
            <v>6月下旬</v>
          </cell>
          <cell r="Q19" t="str">
            <v>台</v>
          </cell>
        </row>
        <row r="20">
          <cell r="P20" t="str">
            <v>7月上旬</v>
          </cell>
          <cell r="Q20" t="str">
            <v>巻</v>
          </cell>
        </row>
        <row r="21">
          <cell r="P21" t="str">
            <v>7月中旬</v>
          </cell>
          <cell r="Q21" t="str">
            <v>時間</v>
          </cell>
        </row>
        <row r="22">
          <cell r="P22" t="str">
            <v>7月下旬</v>
          </cell>
          <cell r="Q22" t="str">
            <v>回</v>
          </cell>
        </row>
        <row r="23">
          <cell r="P23" t="str">
            <v>8月上旬</v>
          </cell>
          <cell r="Q23" t="str">
            <v>年間</v>
          </cell>
        </row>
        <row r="24">
          <cell r="P24" t="str">
            <v>8月中旬</v>
          </cell>
          <cell r="Q24" t="str">
            <v>Kg（本鉢・個）／10a</v>
          </cell>
        </row>
        <row r="25">
          <cell r="P25" t="str">
            <v>8月下旬</v>
          </cell>
          <cell r="Q25" t="str">
            <v>箱／10a</v>
          </cell>
        </row>
        <row r="26">
          <cell r="P26" t="str">
            <v>9月上旬</v>
          </cell>
          <cell r="Q26" t="str">
            <v>円／10a</v>
          </cell>
        </row>
        <row r="27">
          <cell r="P27" t="str">
            <v>9月中旬</v>
          </cell>
          <cell r="Q27" t="str">
            <v>円／10a</v>
          </cell>
        </row>
        <row r="28">
          <cell r="P28" t="str">
            <v>9月下旬</v>
          </cell>
          <cell r="Q28" t="str">
            <v>円／Kg（本鉢・個）</v>
          </cell>
        </row>
        <row r="29">
          <cell r="P29" t="str">
            <v>10月上旬</v>
          </cell>
          <cell r="Q29" t="str">
            <v>円／箱</v>
          </cell>
        </row>
        <row r="30">
          <cell r="P30" t="str">
            <v>10月中旬</v>
          </cell>
          <cell r="Q30" t="str">
            <v>円／10a</v>
          </cell>
        </row>
        <row r="31">
          <cell r="P31" t="str">
            <v>10月下旬</v>
          </cell>
          <cell r="Q31" t="str">
            <v>円／10a</v>
          </cell>
        </row>
        <row r="32">
          <cell r="P32" t="str">
            <v>11月上旬</v>
          </cell>
          <cell r="Q32" t="str">
            <v>単位</v>
          </cell>
        </row>
        <row r="33">
          <cell r="P33" t="str">
            <v>11月中旬</v>
          </cell>
        </row>
        <row r="34">
          <cell r="P34" t="str">
            <v>11月下旬</v>
          </cell>
        </row>
        <row r="35">
          <cell r="P35" t="str">
            <v>12月上旬</v>
          </cell>
        </row>
        <row r="36">
          <cell r="P36" t="str">
            <v>12月中旬</v>
          </cell>
        </row>
        <row r="37">
          <cell r="P37" t="str">
            <v>12月下旬</v>
          </cell>
        </row>
        <row r="38">
          <cell r="P38" t="str">
            <v>通年</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指標"/>
      <sheetName val="労働時間表"/>
      <sheetName val="前提条件"/>
      <sheetName val="算出根基１（粗収益・物財費）"/>
      <sheetName val="算出根基２（労働時間他）"/>
      <sheetName val="算出根基３（減価償却費等）"/>
      <sheetName val="Z-BFM(指標編集)"/>
      <sheetName val="シート設計"/>
    </sheetNames>
    <sheetDataSet>
      <sheetData sheetId="0" refreshError="1"/>
      <sheetData sheetId="1" refreshError="1"/>
      <sheetData sheetId="2">
        <row r="23">
          <cell r="A23" t="str">
            <v>育苗管理</v>
          </cell>
        </row>
        <row r="24">
          <cell r="A24" t="str">
            <v>定植準備</v>
          </cell>
        </row>
        <row r="25">
          <cell r="A25" t="str">
            <v>ハウス管理</v>
          </cell>
        </row>
        <row r="26">
          <cell r="A26" t="str">
            <v>肥培管理</v>
          </cell>
        </row>
        <row r="27">
          <cell r="A27" t="str">
            <v>定植</v>
          </cell>
        </row>
        <row r="28">
          <cell r="A28" t="str">
            <v>誘引</v>
          </cell>
        </row>
        <row r="29">
          <cell r="A29" t="str">
            <v>芽かぎ、葉かぎ</v>
          </cell>
        </row>
        <row r="30">
          <cell r="A30" t="str">
            <v>交配処理</v>
          </cell>
        </row>
        <row r="31">
          <cell r="A31" t="str">
            <v>摘果</v>
          </cell>
        </row>
        <row r="32">
          <cell r="A32" t="str">
            <v>薬剤散布</v>
          </cell>
        </row>
        <row r="33">
          <cell r="A33" t="str">
            <v>収穫</v>
          </cell>
        </row>
        <row r="34">
          <cell r="A34" t="str">
            <v>選果、出荷</v>
          </cell>
        </row>
        <row r="35">
          <cell r="A35" t="str">
            <v>後片付け</v>
          </cell>
        </row>
      </sheetData>
      <sheetData sheetId="3">
        <row r="22">
          <cell r="P22" t="str">
            <v>ガソリン</v>
          </cell>
        </row>
        <row r="23">
          <cell r="P23" t="str">
            <v>軽油</v>
          </cell>
        </row>
        <row r="24">
          <cell r="P24" t="str">
            <v>重油</v>
          </cell>
        </row>
        <row r="25">
          <cell r="P25" t="str">
            <v>灯油</v>
          </cell>
        </row>
        <row r="26">
          <cell r="P26" t="str">
            <v>電気代</v>
          </cell>
        </row>
      </sheetData>
      <sheetData sheetId="4">
        <row r="5">
          <cell r="T5" t="str">
            <v>1月上旬</v>
          </cell>
        </row>
        <row r="6">
          <cell r="T6" t="str">
            <v>1月中旬</v>
          </cell>
        </row>
        <row r="7">
          <cell r="T7" t="str">
            <v>1月下旬</v>
          </cell>
        </row>
        <row r="8">
          <cell r="T8" t="str">
            <v>2月上旬</v>
          </cell>
        </row>
        <row r="9">
          <cell r="T9" t="str">
            <v>2月中旬</v>
          </cell>
        </row>
        <row r="10">
          <cell r="T10" t="str">
            <v>2月下旬</v>
          </cell>
        </row>
        <row r="11">
          <cell r="T11" t="str">
            <v>3月上旬</v>
          </cell>
        </row>
        <row r="12">
          <cell r="T12" t="str">
            <v>3月中旬</v>
          </cell>
        </row>
        <row r="13">
          <cell r="T13" t="str">
            <v>3月下旬</v>
          </cell>
        </row>
        <row r="14">
          <cell r="T14" t="str">
            <v>4月上旬</v>
          </cell>
        </row>
        <row r="15">
          <cell r="T15" t="str">
            <v>4月中旬</v>
          </cell>
        </row>
        <row r="16">
          <cell r="T16" t="str">
            <v>4月下旬</v>
          </cell>
        </row>
        <row r="17">
          <cell r="T17" t="str">
            <v>5月上旬</v>
          </cell>
        </row>
        <row r="18">
          <cell r="T18" t="str">
            <v>5月中旬</v>
          </cell>
        </row>
        <row r="19">
          <cell r="T19" t="str">
            <v>5月下旬</v>
          </cell>
        </row>
        <row r="20">
          <cell r="T20" t="str">
            <v>6月上旬</v>
          </cell>
        </row>
        <row r="21">
          <cell r="T21" t="str">
            <v>6月中旬</v>
          </cell>
        </row>
        <row r="22">
          <cell r="T22" t="str">
            <v>6月下旬</v>
          </cell>
        </row>
        <row r="23">
          <cell r="T23" t="str">
            <v>7月上旬</v>
          </cell>
        </row>
        <row r="24">
          <cell r="T24" t="str">
            <v>7月中旬</v>
          </cell>
        </row>
        <row r="25">
          <cell r="T25" t="str">
            <v>7月下旬</v>
          </cell>
        </row>
        <row r="26">
          <cell r="T26" t="str">
            <v>8月上旬</v>
          </cell>
        </row>
        <row r="27">
          <cell r="T27" t="str">
            <v>8月中旬</v>
          </cell>
        </row>
        <row r="28">
          <cell r="T28" t="str">
            <v>8月下旬</v>
          </cell>
        </row>
        <row r="29">
          <cell r="T29" t="str">
            <v>9月上旬</v>
          </cell>
        </row>
        <row r="30">
          <cell r="T30" t="str">
            <v>9月中旬</v>
          </cell>
        </row>
        <row r="31">
          <cell r="T31" t="str">
            <v>9月下旬</v>
          </cell>
        </row>
        <row r="32">
          <cell r="T32" t="str">
            <v>10月上旬</v>
          </cell>
        </row>
        <row r="33">
          <cell r="T33" t="str">
            <v>10月中旬</v>
          </cell>
        </row>
        <row r="34">
          <cell r="T34" t="str">
            <v>10月下旬</v>
          </cell>
        </row>
        <row r="35">
          <cell r="T35" t="str">
            <v>11月上旬</v>
          </cell>
        </row>
        <row r="36">
          <cell r="T36" t="str">
            <v>11月中旬</v>
          </cell>
        </row>
        <row r="37">
          <cell r="T37" t="str">
            <v>11月下旬</v>
          </cell>
        </row>
        <row r="38">
          <cell r="T38" t="str">
            <v>11月中旬</v>
          </cell>
        </row>
        <row r="39">
          <cell r="T39" t="str">
            <v>11月下旬</v>
          </cell>
        </row>
        <row r="40">
          <cell r="T40" t="str">
            <v>12月上旬</v>
          </cell>
        </row>
        <row r="41">
          <cell r="T41" t="str">
            <v>12月中旬</v>
          </cell>
        </row>
        <row r="42">
          <cell r="T42" t="str">
            <v>12月下旬</v>
          </cell>
        </row>
      </sheetData>
      <sheetData sheetId="5">
        <row r="14">
          <cell r="C14" t="str">
            <v>動力噴霧器</v>
          </cell>
          <cell r="D14" t="str">
            <v>セット動噴5MPa</v>
          </cell>
        </row>
        <row r="15">
          <cell r="C15" t="str">
            <v>軽トラック</v>
          </cell>
          <cell r="D15" t="str">
            <v>660ｃｃ、4WD</v>
          </cell>
        </row>
      </sheetData>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C000"/>
    <pageSetUpPr fitToPage="1"/>
  </sheetPr>
  <dimension ref="A1:J119"/>
  <sheetViews>
    <sheetView showGridLines="0" workbookViewId="0">
      <pane xSplit="4" ySplit="2" topLeftCell="E11" activePane="bottomRight" state="frozen"/>
      <selection pane="topRight" activeCell="E1" sqref="E1"/>
      <selection pane="bottomLeft" activeCell="A3" sqref="A3"/>
      <selection pane="bottomRight" activeCell="D28" sqref="D28"/>
    </sheetView>
  </sheetViews>
  <sheetFormatPr defaultRowHeight="12" zeroHeight="1"/>
  <cols>
    <col min="1" max="3" width="3.625" style="501" customWidth="1"/>
    <col min="4" max="4" width="21.625" style="503" customWidth="1"/>
    <col min="5" max="5" width="12.125" style="501" customWidth="1"/>
    <col min="6" max="6" width="14.25" style="501" customWidth="1"/>
    <col min="7" max="7" width="27.75" style="501" bestFit="1" customWidth="1"/>
    <col min="8" max="8" width="14.125" style="501" customWidth="1"/>
    <col min="9" max="9" width="12" style="501" customWidth="1"/>
    <col min="10" max="10" width="5.375" style="501" customWidth="1"/>
    <col min="11" max="16384" width="9" style="501"/>
  </cols>
  <sheetData>
    <row r="1" spans="1:9" ht="21" customHeight="1">
      <c r="A1" s="48" t="s">
        <v>257</v>
      </c>
      <c r="B1" s="48"/>
      <c r="C1" s="48"/>
      <c r="D1" s="48"/>
      <c r="E1" s="498"/>
      <c r="F1" s="498"/>
      <c r="G1" s="499"/>
      <c r="H1" s="498" t="str">
        <f>①技術体系!A2</f>
        <v>ビール大麦</v>
      </c>
      <c r="I1" s="500"/>
    </row>
    <row r="2" spans="1:9" ht="21" customHeight="1">
      <c r="A2" s="680" t="s">
        <v>141</v>
      </c>
      <c r="B2" s="680"/>
      <c r="C2" s="680"/>
      <c r="D2" s="680"/>
      <c r="E2" s="49" t="s">
        <v>142</v>
      </c>
      <c r="F2" s="50">
        <f>想定面積</f>
        <v>900</v>
      </c>
      <c r="G2" s="696" t="s">
        <v>143</v>
      </c>
      <c r="H2" s="696"/>
      <c r="I2" s="696"/>
    </row>
    <row r="3" spans="1:9" ht="21" customHeight="1">
      <c r="A3" s="697" t="s">
        <v>112</v>
      </c>
      <c r="B3" s="699" t="s">
        <v>144</v>
      </c>
      <c r="C3" s="699"/>
      <c r="D3" s="699"/>
      <c r="E3" s="51">
        <f>④収入!D21</f>
        <v>37240</v>
      </c>
      <c r="F3" s="51">
        <f>E3*$F$2/10</f>
        <v>3351600</v>
      </c>
      <c r="G3" s="700" t="s">
        <v>414</v>
      </c>
      <c r="H3" s="700"/>
      <c r="I3" s="700"/>
    </row>
    <row r="4" spans="1:9" ht="21" customHeight="1">
      <c r="A4" s="697"/>
      <c r="B4" s="668" t="s">
        <v>145</v>
      </c>
      <c r="C4" s="668"/>
      <c r="D4" s="668"/>
      <c r="E4" s="52">
        <f>④収入!E21</f>
        <v>0</v>
      </c>
      <c r="F4" s="52">
        <f>E4*$F$2/10</f>
        <v>0</v>
      </c>
      <c r="G4" s="669" t="s">
        <v>415</v>
      </c>
      <c r="H4" s="669"/>
      <c r="I4" s="669"/>
    </row>
    <row r="5" spans="1:9" ht="21" customHeight="1">
      <c r="A5" s="698"/>
      <c r="B5" s="673" t="s">
        <v>413</v>
      </c>
      <c r="C5" s="668"/>
      <c r="D5" s="668"/>
      <c r="E5" s="52">
        <f>④収入!F21</f>
        <v>15000</v>
      </c>
      <c r="F5" s="52">
        <f>E5*$F$2/10</f>
        <v>1350000</v>
      </c>
      <c r="G5" s="669" t="s">
        <v>416</v>
      </c>
      <c r="H5" s="669"/>
      <c r="I5" s="669"/>
    </row>
    <row r="6" spans="1:9" ht="21" customHeight="1">
      <c r="A6" s="697"/>
      <c r="B6" s="670" t="s">
        <v>146</v>
      </c>
      <c r="C6" s="671"/>
      <c r="D6" s="671"/>
      <c r="E6" s="51">
        <f>SUM(E3:E5)</f>
        <v>52240</v>
      </c>
      <c r="F6" s="51">
        <f>SUM(F3:F5)</f>
        <v>4701600</v>
      </c>
      <c r="G6" s="672"/>
      <c r="H6" s="672"/>
      <c r="I6" s="672"/>
    </row>
    <row r="7" spans="1:9" ht="21" customHeight="1">
      <c r="A7" s="681" t="s">
        <v>258</v>
      </c>
      <c r="B7" s="685" t="s">
        <v>147</v>
      </c>
      <c r="C7" s="478"/>
      <c r="D7" s="475" t="s">
        <v>98</v>
      </c>
      <c r="E7" s="312">
        <f>⑤支出!J8</f>
        <v>1750</v>
      </c>
      <c r="F7" s="313">
        <f>E7*$F$2/10</f>
        <v>157500</v>
      </c>
      <c r="G7" s="310" t="s">
        <v>417</v>
      </c>
      <c r="H7" s="54"/>
      <c r="I7" s="55"/>
    </row>
    <row r="8" spans="1:9" ht="21" customHeight="1">
      <c r="A8" s="682"/>
      <c r="B8" s="683"/>
      <c r="C8" s="479"/>
      <c r="D8" s="476" t="s">
        <v>95</v>
      </c>
      <c r="E8" s="417">
        <f>⑤支出!J20</f>
        <v>7062</v>
      </c>
      <c r="F8" s="418">
        <f>E8*$F$2/10</f>
        <v>635580</v>
      </c>
      <c r="G8" s="56" t="s">
        <v>418</v>
      </c>
      <c r="H8" s="56"/>
      <c r="I8" s="57"/>
    </row>
    <row r="9" spans="1:9" ht="21" customHeight="1">
      <c r="A9" s="682"/>
      <c r="B9" s="683"/>
      <c r="C9" s="479"/>
      <c r="D9" s="476" t="s">
        <v>148</v>
      </c>
      <c r="E9" s="417">
        <f>⑤支出!J61</f>
        <v>3478</v>
      </c>
      <c r="F9" s="418">
        <f>E9*$F$2/10</f>
        <v>313020</v>
      </c>
      <c r="G9" s="56" t="s">
        <v>419</v>
      </c>
      <c r="H9" s="56"/>
      <c r="I9" s="57"/>
    </row>
    <row r="10" spans="1:9" ht="21" customHeight="1">
      <c r="A10" s="682"/>
      <c r="B10" s="683"/>
      <c r="C10" s="479"/>
      <c r="D10" s="476" t="s">
        <v>149</v>
      </c>
      <c r="E10" s="417">
        <f>⑤支出!J70</f>
        <v>2651</v>
      </c>
      <c r="F10" s="418">
        <f>E10*$F$2/10</f>
        <v>238590</v>
      </c>
      <c r="G10" s="56" t="s">
        <v>420</v>
      </c>
      <c r="H10" s="56"/>
      <c r="I10" s="57"/>
    </row>
    <row r="11" spans="1:9" ht="21" customHeight="1">
      <c r="A11" s="682"/>
      <c r="B11" s="683"/>
      <c r="C11" s="479"/>
      <c r="D11" s="476" t="s">
        <v>115</v>
      </c>
      <c r="E11" s="417">
        <f>⑤支出!J108</f>
        <v>0</v>
      </c>
      <c r="F11" s="418">
        <f>E11*$F$2/10</f>
        <v>0</v>
      </c>
      <c r="G11" s="56" t="s">
        <v>421</v>
      </c>
      <c r="H11" s="56"/>
      <c r="I11" s="57"/>
    </row>
    <row r="12" spans="1:9" ht="21" customHeight="1">
      <c r="A12" s="682"/>
      <c r="B12" s="683"/>
      <c r="C12" s="479"/>
      <c r="D12" s="476" t="s">
        <v>150</v>
      </c>
      <c r="E12" s="52">
        <f>⑤支出!J115</f>
        <v>0</v>
      </c>
      <c r="F12" s="418">
        <f t="shared" ref="F12:F21" si="0">E12*$F$2/10</f>
        <v>0</v>
      </c>
      <c r="G12" s="56" t="s">
        <v>422</v>
      </c>
      <c r="H12" s="59"/>
      <c r="I12" s="60"/>
    </row>
    <row r="13" spans="1:9" ht="21" customHeight="1">
      <c r="A13" s="682"/>
      <c r="B13" s="683"/>
      <c r="C13" s="479"/>
      <c r="D13" s="477" t="s">
        <v>424</v>
      </c>
      <c r="E13" s="52">
        <f>⑤支出!J120</f>
        <v>0</v>
      </c>
      <c r="F13" s="418">
        <f t="shared" si="0"/>
        <v>0</v>
      </c>
      <c r="G13" s="56" t="s">
        <v>425</v>
      </c>
      <c r="H13" s="59"/>
      <c r="I13" s="60"/>
    </row>
    <row r="14" spans="1:9" ht="21" customHeight="1">
      <c r="A14" s="682"/>
      <c r="B14" s="683"/>
      <c r="C14" s="480"/>
      <c r="D14" s="477" t="s">
        <v>403</v>
      </c>
      <c r="E14" s="52">
        <f>⑤支出!J126</f>
        <v>7280</v>
      </c>
      <c r="F14" s="418">
        <f t="shared" si="0"/>
        <v>655200</v>
      </c>
      <c r="G14" s="56" t="s">
        <v>423</v>
      </c>
      <c r="H14" s="62"/>
      <c r="I14" s="61"/>
    </row>
    <row r="15" spans="1:9" ht="21" customHeight="1">
      <c r="A15" s="682"/>
      <c r="B15" s="682"/>
      <c r="C15" s="688" t="s">
        <v>392</v>
      </c>
      <c r="D15" s="419" t="s">
        <v>405</v>
      </c>
      <c r="E15" s="51">
        <f>②償却資産!S8</f>
        <v>165.33333333333334</v>
      </c>
      <c r="F15" s="418">
        <f t="shared" si="0"/>
        <v>14880</v>
      </c>
      <c r="G15" s="63" t="s">
        <v>388</v>
      </c>
      <c r="H15" s="63"/>
      <c r="I15" s="311"/>
    </row>
    <row r="16" spans="1:9" ht="21" customHeight="1">
      <c r="A16" s="682"/>
      <c r="B16" s="682"/>
      <c r="C16" s="689"/>
      <c r="D16" s="315" t="s">
        <v>389</v>
      </c>
      <c r="E16" s="52">
        <f>②償却資産!S19</f>
        <v>0</v>
      </c>
      <c r="F16" s="418">
        <f t="shared" ref="F16" si="1">E16*$F$2/10</f>
        <v>0</v>
      </c>
      <c r="G16" s="63" t="s">
        <v>390</v>
      </c>
      <c r="H16" s="63"/>
      <c r="I16" s="311"/>
    </row>
    <row r="17" spans="1:9" ht="21" customHeight="1">
      <c r="A17" s="682"/>
      <c r="B17" s="682"/>
      <c r="C17" s="690"/>
      <c r="D17" s="314" t="s">
        <v>151</v>
      </c>
      <c r="E17" s="52">
        <f>②償却資産!S34</f>
        <v>2449.0266666666671</v>
      </c>
      <c r="F17" s="418">
        <f t="shared" si="0"/>
        <v>220412.40000000005</v>
      </c>
      <c r="G17" s="63" t="s">
        <v>391</v>
      </c>
      <c r="H17" s="63"/>
      <c r="I17" s="311"/>
    </row>
    <row r="18" spans="1:9" ht="21" customHeight="1">
      <c r="A18" s="682"/>
      <c r="B18" s="682"/>
      <c r="C18" s="691" t="s">
        <v>393</v>
      </c>
      <c r="D18" s="419" t="s">
        <v>406</v>
      </c>
      <c r="E18" s="52">
        <f>②償却資産!R8</f>
        <v>688</v>
      </c>
      <c r="F18" s="418">
        <f t="shared" si="0"/>
        <v>61920</v>
      </c>
      <c r="G18" s="63" t="s">
        <v>397</v>
      </c>
      <c r="H18" s="63"/>
      <c r="I18" s="311"/>
    </row>
    <row r="19" spans="1:9" ht="21" customHeight="1">
      <c r="A19" s="682"/>
      <c r="B19" s="682"/>
      <c r="C19" s="689"/>
      <c r="D19" s="315" t="s">
        <v>394</v>
      </c>
      <c r="E19" s="51">
        <f>②償却資産!R19</f>
        <v>0</v>
      </c>
      <c r="F19" s="418">
        <f t="shared" si="0"/>
        <v>0</v>
      </c>
      <c r="G19" s="63" t="s">
        <v>548</v>
      </c>
      <c r="H19" s="63"/>
      <c r="I19" s="311"/>
    </row>
    <row r="20" spans="1:9" ht="21" customHeight="1">
      <c r="A20" s="682"/>
      <c r="B20" s="682"/>
      <c r="C20" s="689"/>
      <c r="D20" s="315" t="s">
        <v>395</v>
      </c>
      <c r="E20" s="52">
        <f>②償却資産!R34</f>
        <v>9026</v>
      </c>
      <c r="F20" s="418">
        <f t="shared" si="0"/>
        <v>812340</v>
      </c>
      <c r="G20" s="63" t="s">
        <v>549</v>
      </c>
      <c r="H20" s="63"/>
      <c r="I20" s="311"/>
    </row>
    <row r="21" spans="1:9" ht="21" customHeight="1">
      <c r="A21" s="682"/>
      <c r="B21" s="682"/>
      <c r="C21" s="690"/>
      <c r="D21" s="315" t="s">
        <v>396</v>
      </c>
      <c r="E21" s="52">
        <f>②償却資産!R37</f>
        <v>0</v>
      </c>
      <c r="F21" s="418">
        <f t="shared" si="0"/>
        <v>0</v>
      </c>
      <c r="G21" s="63" t="s">
        <v>550</v>
      </c>
      <c r="H21" s="63"/>
      <c r="I21" s="64"/>
    </row>
    <row r="22" spans="1:9" ht="21" customHeight="1">
      <c r="A22" s="682"/>
      <c r="B22" s="686"/>
      <c r="C22" s="486"/>
      <c r="D22" s="481" t="s">
        <v>253</v>
      </c>
      <c r="E22" s="65">
        <f>⑤支出!J132</f>
        <v>7699</v>
      </c>
      <c r="F22" s="316">
        <f>(作業体系表!AN34-作業体系表!AN36)*⑤支出!F127+作業体系表!AN36*⑤支出!F128</f>
        <v>714893.22218677495</v>
      </c>
      <c r="G22" s="674" t="str">
        <f>"⑤支出　労働費　※基幹労働(時給"&amp;⑤支出!F127&amp;"円、自家労賃含む)、補助労働(時給"&amp;⑤支出!F128&amp;"円)"</f>
        <v>⑤支出　労働費　※基幹労働(時給962円、自家労賃含む)、補助労働(時給753円)</v>
      </c>
      <c r="H22" s="675"/>
      <c r="I22" s="676"/>
    </row>
    <row r="23" spans="1:9" ht="21" customHeight="1">
      <c r="A23" s="682"/>
      <c r="B23" s="687"/>
      <c r="C23" s="493"/>
      <c r="D23" s="494" t="s">
        <v>152</v>
      </c>
      <c r="E23" s="66">
        <f>SUM(E7:E22)</f>
        <v>42248.36</v>
      </c>
      <c r="F23" s="317">
        <f>SUM(F7:F22)</f>
        <v>3824335.6221867749</v>
      </c>
      <c r="G23" s="67"/>
      <c r="H23" s="67"/>
      <c r="I23" s="68"/>
    </row>
    <row r="24" spans="1:9" ht="21" customHeight="1">
      <c r="A24" s="682"/>
      <c r="B24" s="694" t="s">
        <v>125</v>
      </c>
      <c r="C24" s="486"/>
      <c r="D24" s="495" t="s">
        <v>153</v>
      </c>
      <c r="E24" s="69">
        <f>⑤支出!J136+⑤支出!J137+⑤支出!J138</f>
        <v>6353.1440000000002</v>
      </c>
      <c r="F24" s="318">
        <f>E24*$F$2/10</f>
        <v>571782.96000000008</v>
      </c>
      <c r="G24" s="666" t="str">
        <f>"⑤支出　"&amp;⑤支出!B133&amp;"　"&amp;⑤支出!C136&amp;"、"&amp;⑤支出!C137&amp;"、"&amp;⑤支出!C138</f>
        <v>⑤支出　販売費用　ＪＡ手数料、全農手数料、市場手数料</v>
      </c>
      <c r="H24" s="667"/>
      <c r="I24" s="667"/>
    </row>
    <row r="25" spans="1:9" ht="21" customHeight="1">
      <c r="A25" s="682"/>
      <c r="B25" s="686"/>
      <c r="C25" s="487"/>
      <c r="D25" s="482" t="s">
        <v>126</v>
      </c>
      <c r="E25" s="52">
        <f>⑤支出!J134</f>
        <v>0</v>
      </c>
      <c r="F25" s="418">
        <f>E25*$F$2/10</f>
        <v>0</v>
      </c>
      <c r="G25" s="70" t="str">
        <f>"⑤支出　"&amp;⑤支出!B133&amp;"　"&amp;⑤支出!C134</f>
        <v>⑤支出　販売費用　出荷運賃</v>
      </c>
      <c r="H25" s="70"/>
      <c r="I25" s="71"/>
    </row>
    <row r="26" spans="1:9" ht="21" customHeight="1">
      <c r="A26" s="682"/>
      <c r="B26" s="686"/>
      <c r="C26" s="487"/>
      <c r="D26" s="490" t="s">
        <v>154</v>
      </c>
      <c r="E26" s="51">
        <f>⑤支出!J133</f>
        <v>896</v>
      </c>
      <c r="F26" s="319">
        <f>E26*$F$2/10</f>
        <v>80640</v>
      </c>
      <c r="G26" s="70" t="str">
        <f>"⑤支出　"&amp;⑤支出!B133&amp;"　"&amp;⑤支出!C133</f>
        <v>⑤支出　販売費用　出荷袋</v>
      </c>
      <c r="H26" s="58"/>
      <c r="I26" s="72"/>
    </row>
    <row r="27" spans="1:9" ht="21" customHeight="1">
      <c r="A27" s="682"/>
      <c r="B27" s="686"/>
      <c r="C27" s="487"/>
      <c r="D27" s="482" t="s">
        <v>155</v>
      </c>
      <c r="E27" s="52">
        <f>⑤支出!J135</f>
        <v>0</v>
      </c>
      <c r="F27" s="418">
        <f>E27*$F$2/10</f>
        <v>0</v>
      </c>
      <c r="G27" s="70" t="str">
        <f>"⑤支出　"&amp;⑤支出!B133&amp;"　"&amp;⑤支出!C135</f>
        <v>⑤支出　販売費用　選果料</v>
      </c>
      <c r="H27" s="63"/>
      <c r="I27" s="311"/>
    </row>
    <row r="28" spans="1:9" ht="21" customHeight="1">
      <c r="A28" s="682"/>
      <c r="B28" s="686"/>
      <c r="C28" s="487"/>
      <c r="D28" s="491" t="s">
        <v>156</v>
      </c>
      <c r="E28" s="65">
        <f>⑤支出!J143-⑤支出!J133-⑤支出!J134-⑤支出!J135-⑤支出!J136-⑤支出!J137-⑤支出!J138</f>
        <v>0</v>
      </c>
      <c r="F28" s="316">
        <f>E28*$F$2/10</f>
        <v>0</v>
      </c>
      <c r="G28" s="70" t="str">
        <f>"⑤支出　"&amp;⑤支出!B133</f>
        <v>⑤支出　販売費用</v>
      </c>
      <c r="H28" s="323"/>
      <c r="I28" s="324"/>
    </row>
    <row r="29" spans="1:9" ht="21" customHeight="1">
      <c r="A29" s="682"/>
      <c r="B29" s="687"/>
      <c r="C29" s="492"/>
      <c r="D29" s="485" t="s">
        <v>152</v>
      </c>
      <c r="E29" s="66">
        <f>SUM(E24:E28)</f>
        <v>7249.1440000000002</v>
      </c>
      <c r="F29" s="317">
        <f>SUM(F24:F28)</f>
        <v>652422.96000000008</v>
      </c>
      <c r="G29" s="67"/>
      <c r="H29" s="67"/>
      <c r="I29" s="68"/>
    </row>
    <row r="30" spans="1:9" ht="21" customHeight="1">
      <c r="A30" s="682"/>
      <c r="B30" s="694" t="s">
        <v>108</v>
      </c>
      <c r="C30" s="489"/>
      <c r="D30" s="483" t="s">
        <v>274</v>
      </c>
      <c r="E30" s="51">
        <f>②償却資産!L47</f>
        <v>388</v>
      </c>
      <c r="F30" s="319">
        <f t="shared" ref="F30:F34" si="2">E30*$F$2/10</f>
        <v>34920</v>
      </c>
      <c r="G30" s="664" t="str">
        <f>CONCATENATE("償却資産取得額の",FIXED(②償却資産!$L$43*100,0),"%を利率",FIXED(②償却資産!$L$46*100,0),"%で借入")</f>
        <v>償却資産取得額の50%を利率2%で借入</v>
      </c>
      <c r="H30" s="665"/>
      <c r="I30" s="665"/>
    </row>
    <row r="31" spans="1:9" ht="21" customHeight="1">
      <c r="A31" s="682"/>
      <c r="B31" s="686"/>
      <c r="C31" s="487"/>
      <c r="D31" s="511" t="s">
        <v>254</v>
      </c>
      <c r="E31" s="52">
        <f>⑤支出!J148</f>
        <v>4750</v>
      </c>
      <c r="F31" s="418">
        <f t="shared" si="2"/>
        <v>427500</v>
      </c>
      <c r="G31" s="661" t="s">
        <v>436</v>
      </c>
      <c r="H31" s="662"/>
      <c r="I31" s="663"/>
    </row>
    <row r="32" spans="1:9" ht="21" customHeight="1">
      <c r="A32" s="682"/>
      <c r="B32" s="686"/>
      <c r="C32" s="487"/>
      <c r="D32" s="484" t="s">
        <v>429</v>
      </c>
      <c r="E32" s="65">
        <f>⑤支出!J153</f>
        <v>0</v>
      </c>
      <c r="F32" s="316">
        <f t="shared" si="2"/>
        <v>0</v>
      </c>
      <c r="G32" s="661" t="s">
        <v>437</v>
      </c>
      <c r="H32" s="662"/>
      <c r="I32" s="663"/>
    </row>
    <row r="33" spans="1:10" ht="21" customHeight="1">
      <c r="A33" s="682"/>
      <c r="B33" s="686"/>
      <c r="C33" s="487"/>
      <c r="D33" s="484" t="s">
        <v>431</v>
      </c>
      <c r="E33" s="65">
        <f>⑤支出!J158</f>
        <v>1300</v>
      </c>
      <c r="F33" s="316">
        <f t="shared" si="2"/>
        <v>117000</v>
      </c>
      <c r="G33" s="661" t="s">
        <v>438</v>
      </c>
      <c r="H33" s="662"/>
      <c r="I33" s="663"/>
    </row>
    <row r="34" spans="1:10" ht="21" customHeight="1">
      <c r="A34" s="683"/>
      <c r="B34" s="695"/>
      <c r="C34" s="487"/>
      <c r="D34" s="484" t="s">
        <v>433</v>
      </c>
      <c r="E34" s="65">
        <f>⑤支出!J163</f>
        <v>0</v>
      </c>
      <c r="F34" s="316">
        <f t="shared" si="2"/>
        <v>0</v>
      </c>
      <c r="G34" s="661" t="s">
        <v>439</v>
      </c>
      <c r="H34" s="662"/>
      <c r="I34" s="663"/>
    </row>
    <row r="35" spans="1:10" ht="21" customHeight="1">
      <c r="A35" s="682"/>
      <c r="B35" s="686"/>
      <c r="C35" s="487"/>
      <c r="D35" s="484" t="s">
        <v>440</v>
      </c>
      <c r="E35" s="65">
        <f>⑤支出!J175</f>
        <v>0</v>
      </c>
      <c r="F35" s="316">
        <f>E35*$F$2/10</f>
        <v>0</v>
      </c>
      <c r="G35" s="661" t="s">
        <v>441</v>
      </c>
      <c r="H35" s="662"/>
      <c r="I35" s="663"/>
    </row>
    <row r="36" spans="1:10" ht="21" customHeight="1">
      <c r="A36" s="682"/>
      <c r="B36" s="687"/>
      <c r="C36" s="488"/>
      <c r="D36" s="485" t="s">
        <v>152</v>
      </c>
      <c r="E36" s="320">
        <f>SUM(E30:E35)</f>
        <v>6438</v>
      </c>
      <c r="F36" s="321">
        <f>SUM(F30:F35)</f>
        <v>579420</v>
      </c>
      <c r="G36" s="67"/>
      <c r="H36" s="67"/>
      <c r="I36" s="68"/>
    </row>
    <row r="37" spans="1:10" ht="21" customHeight="1">
      <c r="A37" s="684"/>
      <c r="B37" s="692" t="s">
        <v>158</v>
      </c>
      <c r="C37" s="692"/>
      <c r="D37" s="693"/>
      <c r="E37" s="53">
        <f>E23+E29+E36</f>
        <v>55935.504000000001</v>
      </c>
      <c r="F37" s="53">
        <f>F23+F29+F36</f>
        <v>5056178.5821867753</v>
      </c>
      <c r="G37" s="73"/>
      <c r="H37" s="74"/>
      <c r="I37" s="72"/>
    </row>
    <row r="38" spans="1:10" ht="21" customHeight="1">
      <c r="A38" s="75"/>
      <c r="B38" s="76" t="s">
        <v>255</v>
      </c>
      <c r="C38" s="76"/>
      <c r="D38" s="76"/>
      <c r="E38" s="77">
        <f>E6-E37</f>
        <v>-3695.5040000000008</v>
      </c>
      <c r="F38" s="77">
        <f>F6-F37</f>
        <v>-354578.58218677528</v>
      </c>
      <c r="G38" s="78" t="str">
        <f>IF(E6=0,"",CONCATENATE("所得率",FIXED($E$38/$E$6*100,0),"%"))</f>
        <v>所得率-7%</v>
      </c>
      <c r="H38" s="79"/>
      <c r="I38" s="80"/>
    </row>
    <row r="39" spans="1:10" ht="21" customHeight="1">
      <c r="A39" s="677" t="s">
        <v>256</v>
      </c>
      <c r="B39" s="678"/>
      <c r="C39" s="678"/>
      <c r="D39" s="679"/>
      <c r="E39" s="660">
        <f>E22+E31+E38</f>
        <v>8753.4959999999992</v>
      </c>
      <c r="F39" s="81">
        <f>F22+F31+F38</f>
        <v>787814.63999999966</v>
      </c>
      <c r="G39" s="82"/>
      <c r="H39" s="82"/>
      <c r="I39" s="83"/>
    </row>
    <row r="40" spans="1:10" ht="21" customHeight="1">
      <c r="A40" s="99"/>
      <c r="B40" s="99"/>
      <c r="C40" s="99"/>
      <c r="D40" s="502"/>
      <c r="E40" s="99"/>
      <c r="F40" s="99"/>
      <c r="G40" s="99"/>
      <c r="H40" s="99"/>
      <c r="I40" s="99"/>
      <c r="J40" s="99"/>
    </row>
    <row r="41" spans="1:10" ht="21" customHeight="1">
      <c r="A41" s="99"/>
      <c r="B41" s="99"/>
      <c r="C41" s="99"/>
      <c r="D41" s="502"/>
      <c r="E41" s="99"/>
      <c r="F41" s="99"/>
      <c r="G41" s="99"/>
      <c r="H41" s="99"/>
      <c r="I41" s="99"/>
      <c r="J41" s="99"/>
    </row>
    <row r="42" spans="1:10" ht="21" customHeight="1">
      <c r="A42" s="99"/>
      <c r="B42" s="99"/>
      <c r="C42" s="99"/>
      <c r="D42" s="502"/>
      <c r="E42" s="99"/>
      <c r="F42" s="99"/>
      <c r="G42" s="99"/>
      <c r="H42" s="99"/>
      <c r="I42" s="99"/>
      <c r="J42" s="99"/>
    </row>
    <row r="43" spans="1:10" ht="21" customHeight="1">
      <c r="A43" s="99"/>
      <c r="B43" s="99"/>
      <c r="C43" s="99"/>
      <c r="D43" s="502"/>
      <c r="E43" s="99"/>
      <c r="F43" s="99"/>
      <c r="G43" s="99"/>
      <c r="H43" s="99"/>
      <c r="I43" s="99"/>
      <c r="J43" s="99"/>
    </row>
    <row r="44" spans="1:10" ht="21" customHeight="1">
      <c r="A44" s="99"/>
      <c r="B44" s="99"/>
      <c r="C44" s="99"/>
      <c r="D44" s="502"/>
      <c r="E44" s="99"/>
      <c r="F44" s="99"/>
      <c r="G44" s="99"/>
      <c r="H44" s="99"/>
      <c r="I44" s="99"/>
      <c r="J44" s="99"/>
    </row>
    <row r="45" spans="1:10" ht="21" customHeight="1">
      <c r="A45" s="99"/>
      <c r="B45" s="99"/>
      <c r="C45" s="99"/>
      <c r="D45" s="502"/>
      <c r="E45" s="99"/>
      <c r="F45" s="99"/>
      <c r="G45" s="99"/>
      <c r="H45" s="99"/>
      <c r="I45" s="99"/>
      <c r="J45" s="99"/>
    </row>
    <row r="46" spans="1:10" ht="16.899999999999999" customHeight="1">
      <c r="A46" s="99"/>
      <c r="B46" s="99"/>
      <c r="C46" s="99"/>
      <c r="D46" s="502"/>
      <c r="E46" s="99"/>
      <c r="F46" s="99"/>
      <c r="G46" s="99"/>
      <c r="H46" s="99"/>
      <c r="I46" s="99"/>
      <c r="J46" s="99"/>
    </row>
    <row r="47" spans="1:10" ht="16.899999999999999" customHeight="1">
      <c r="A47" s="99"/>
      <c r="B47" s="99"/>
      <c r="C47" s="99"/>
      <c r="D47" s="502"/>
      <c r="E47" s="99"/>
      <c r="F47" s="99"/>
      <c r="G47" s="99"/>
      <c r="H47" s="99"/>
      <c r="I47" s="99"/>
      <c r="J47" s="99"/>
    </row>
    <row r="48" spans="1:10" ht="16.899999999999999" customHeight="1">
      <c r="A48" s="99"/>
      <c r="B48" s="99"/>
      <c r="C48" s="99"/>
      <c r="D48" s="502"/>
      <c r="E48" s="99"/>
      <c r="F48" s="99"/>
      <c r="G48" s="99"/>
      <c r="H48" s="99"/>
      <c r="I48" s="99"/>
      <c r="J48" s="99"/>
    </row>
    <row r="49" spans="1:10" ht="16.899999999999999" customHeight="1">
      <c r="A49" s="99"/>
      <c r="B49" s="99"/>
      <c r="C49" s="99"/>
      <c r="D49" s="502"/>
      <c r="E49" s="99"/>
      <c r="F49" s="99"/>
      <c r="G49" s="99"/>
      <c r="H49" s="99"/>
      <c r="I49" s="99"/>
      <c r="J49" s="99"/>
    </row>
    <row r="50" spans="1:10" ht="16.899999999999999" customHeight="1">
      <c r="A50" s="99"/>
      <c r="B50" s="99"/>
      <c r="C50" s="99"/>
      <c r="D50" s="502"/>
      <c r="E50" s="99"/>
      <c r="F50" s="99"/>
      <c r="G50" s="99"/>
      <c r="H50" s="99"/>
      <c r="I50" s="99"/>
      <c r="J50" s="99"/>
    </row>
    <row r="51" spans="1:10" ht="16.899999999999999" customHeight="1">
      <c r="A51" s="99"/>
      <c r="B51" s="99"/>
      <c r="C51" s="99"/>
      <c r="D51" s="502"/>
      <c r="E51" s="99"/>
      <c r="F51" s="99"/>
      <c r="G51" s="99"/>
      <c r="H51" s="99"/>
      <c r="I51" s="99"/>
      <c r="J51" s="99"/>
    </row>
    <row r="52" spans="1:10" ht="16.899999999999999" customHeight="1">
      <c r="A52" s="99"/>
      <c r="B52" s="99"/>
      <c r="C52" s="99"/>
      <c r="D52" s="502"/>
      <c r="E52" s="99"/>
      <c r="F52" s="99"/>
      <c r="G52" s="99"/>
      <c r="H52" s="99"/>
      <c r="I52" s="99"/>
      <c r="J52" s="99"/>
    </row>
    <row r="53" spans="1:10" ht="16.899999999999999" customHeight="1">
      <c r="A53" s="99"/>
      <c r="B53" s="99"/>
      <c r="C53" s="99"/>
      <c r="D53" s="502"/>
      <c r="E53" s="99"/>
      <c r="F53" s="99"/>
      <c r="G53" s="99"/>
      <c r="H53" s="99"/>
      <c r="I53" s="99"/>
      <c r="J53" s="99"/>
    </row>
    <row r="54" spans="1:10" ht="16.899999999999999" customHeight="1">
      <c r="A54" s="99"/>
      <c r="B54" s="99"/>
      <c r="C54" s="99"/>
      <c r="D54" s="502"/>
      <c r="E54" s="99"/>
      <c r="F54" s="99"/>
      <c r="G54" s="99"/>
      <c r="H54" s="99"/>
      <c r="I54" s="99"/>
      <c r="J54" s="99"/>
    </row>
    <row r="55" spans="1:10" ht="16.899999999999999" customHeight="1">
      <c r="A55" s="99"/>
      <c r="B55" s="99"/>
      <c r="C55" s="99"/>
      <c r="D55" s="502"/>
      <c r="E55" s="99"/>
      <c r="F55" s="99"/>
      <c r="G55" s="99"/>
      <c r="H55" s="99"/>
      <c r="I55" s="99"/>
      <c r="J55" s="99"/>
    </row>
    <row r="56" spans="1:10" ht="16.899999999999999" customHeight="1">
      <c r="A56" s="99"/>
      <c r="B56" s="99"/>
      <c r="C56" s="99"/>
      <c r="D56" s="502"/>
      <c r="E56" s="99"/>
      <c r="F56" s="99"/>
      <c r="G56" s="99"/>
      <c r="H56" s="99"/>
      <c r="I56" s="99"/>
      <c r="J56" s="99"/>
    </row>
    <row r="57" spans="1:10" ht="16.899999999999999" customHeight="1">
      <c r="A57" s="99"/>
      <c r="B57" s="99"/>
      <c r="C57" s="99"/>
      <c r="D57" s="502"/>
      <c r="E57" s="99"/>
      <c r="F57" s="99"/>
      <c r="G57" s="99"/>
      <c r="H57" s="99"/>
      <c r="I57" s="99"/>
      <c r="J57" s="99"/>
    </row>
    <row r="58" spans="1:10" ht="16.899999999999999" customHeight="1">
      <c r="A58" s="99"/>
      <c r="B58" s="99"/>
      <c r="C58" s="99"/>
      <c r="D58" s="502"/>
      <c r="E58" s="99"/>
      <c r="F58" s="99"/>
      <c r="G58" s="99"/>
      <c r="H58" s="99"/>
      <c r="I58" s="99"/>
      <c r="J58" s="99"/>
    </row>
    <row r="59" spans="1:10" ht="16.899999999999999" customHeight="1">
      <c r="A59" s="99"/>
      <c r="B59" s="99"/>
      <c r="C59" s="99"/>
      <c r="D59" s="502"/>
      <c r="E59" s="99"/>
      <c r="F59" s="99"/>
      <c r="G59" s="99"/>
      <c r="H59" s="99"/>
      <c r="I59" s="99"/>
      <c r="J59" s="99"/>
    </row>
    <row r="60" spans="1:10" ht="16.899999999999999" customHeight="1">
      <c r="A60" s="99"/>
      <c r="B60" s="99"/>
      <c r="C60" s="99"/>
      <c r="D60" s="502"/>
      <c r="E60" s="99"/>
      <c r="F60" s="99"/>
      <c r="G60" s="99"/>
      <c r="H60" s="99"/>
      <c r="I60" s="99"/>
      <c r="J60" s="99"/>
    </row>
    <row r="61" spans="1:10" ht="16.899999999999999" customHeight="1">
      <c r="A61" s="99"/>
      <c r="B61" s="99"/>
      <c r="C61" s="99"/>
      <c r="D61" s="502"/>
      <c r="E61" s="99"/>
      <c r="F61" s="99"/>
      <c r="G61" s="99"/>
      <c r="H61" s="99"/>
      <c r="I61" s="99"/>
      <c r="J61" s="99"/>
    </row>
    <row r="62" spans="1:10" ht="16.899999999999999" customHeight="1">
      <c r="A62" s="99"/>
      <c r="B62" s="99"/>
      <c r="C62" s="99"/>
      <c r="D62" s="502"/>
      <c r="E62" s="99"/>
      <c r="F62" s="99"/>
      <c r="G62" s="99"/>
      <c r="H62" s="99"/>
      <c r="I62" s="99"/>
      <c r="J62" s="99"/>
    </row>
    <row r="63" spans="1:10" ht="16.899999999999999" customHeight="1">
      <c r="A63" s="99"/>
      <c r="B63" s="99"/>
      <c r="C63" s="99"/>
      <c r="D63" s="502"/>
      <c r="E63" s="99"/>
      <c r="F63" s="99"/>
      <c r="G63" s="99"/>
      <c r="H63" s="99"/>
      <c r="I63" s="99"/>
      <c r="J63" s="99"/>
    </row>
    <row r="64" spans="1:10" ht="16.899999999999999" customHeight="1">
      <c r="A64" s="99"/>
      <c r="B64" s="99"/>
      <c r="C64" s="99"/>
      <c r="D64" s="502"/>
      <c r="E64" s="99"/>
      <c r="F64" s="99"/>
      <c r="G64" s="99"/>
      <c r="H64" s="99"/>
      <c r="I64" s="99"/>
      <c r="J64" s="99"/>
    </row>
    <row r="65" spans="1:10" ht="16.899999999999999" customHeight="1">
      <c r="A65" s="99"/>
      <c r="B65" s="99"/>
      <c r="C65" s="99"/>
      <c r="D65" s="502"/>
      <c r="E65" s="99"/>
      <c r="F65" s="99"/>
      <c r="G65" s="99"/>
      <c r="H65" s="99"/>
      <c r="I65" s="99"/>
      <c r="J65" s="99"/>
    </row>
    <row r="66" spans="1:10" ht="16.899999999999999" customHeight="1">
      <c r="A66" s="99"/>
      <c r="B66" s="99"/>
      <c r="C66" s="99"/>
      <c r="D66" s="502"/>
      <c r="E66" s="99"/>
      <c r="F66" s="99"/>
      <c r="G66" s="99"/>
      <c r="H66" s="99"/>
      <c r="I66" s="99"/>
      <c r="J66" s="99"/>
    </row>
    <row r="67" spans="1:10" ht="16.899999999999999" customHeight="1">
      <c r="A67" s="99"/>
      <c r="B67" s="99"/>
      <c r="C67" s="99"/>
      <c r="D67" s="502"/>
      <c r="E67" s="99"/>
      <c r="F67" s="99"/>
      <c r="G67" s="99"/>
      <c r="H67" s="99"/>
      <c r="I67" s="99"/>
      <c r="J67" s="99"/>
    </row>
    <row r="68" spans="1:10" ht="16.899999999999999" customHeight="1">
      <c r="A68" s="99"/>
      <c r="B68" s="99"/>
      <c r="C68" s="99"/>
      <c r="D68" s="502"/>
      <c r="E68" s="99"/>
      <c r="F68" s="99"/>
      <c r="G68" s="99"/>
      <c r="H68" s="99"/>
      <c r="I68" s="99"/>
      <c r="J68" s="99"/>
    </row>
    <row r="69" spans="1:10" ht="16.899999999999999" customHeight="1">
      <c r="A69" s="99"/>
      <c r="B69" s="99"/>
      <c r="C69" s="99"/>
      <c r="D69" s="502"/>
      <c r="E69" s="99"/>
      <c r="F69" s="99"/>
      <c r="G69" s="99"/>
      <c r="H69" s="99"/>
      <c r="I69" s="99"/>
      <c r="J69" s="99"/>
    </row>
    <row r="70" spans="1:10" ht="16.899999999999999" customHeight="1">
      <c r="A70" s="99"/>
      <c r="B70" s="99"/>
      <c r="C70" s="99"/>
      <c r="D70" s="502"/>
      <c r="E70" s="99"/>
      <c r="F70" s="99"/>
      <c r="G70" s="99"/>
      <c r="H70" s="99"/>
      <c r="I70" s="99"/>
      <c r="J70" s="99"/>
    </row>
    <row r="71" spans="1:10" ht="16.899999999999999" customHeight="1">
      <c r="A71" s="99"/>
      <c r="B71" s="99"/>
      <c r="C71" s="99"/>
      <c r="D71" s="502"/>
      <c r="E71" s="99"/>
      <c r="F71" s="99"/>
      <c r="G71" s="99"/>
      <c r="H71" s="99"/>
      <c r="I71" s="99"/>
      <c r="J71" s="99"/>
    </row>
    <row r="72" spans="1:10" ht="16.899999999999999" customHeight="1">
      <c r="A72" s="99"/>
      <c r="B72" s="99"/>
      <c r="C72" s="99"/>
      <c r="D72" s="502"/>
      <c r="E72" s="99"/>
      <c r="F72" s="99"/>
      <c r="G72" s="99"/>
      <c r="H72" s="99"/>
      <c r="I72" s="99"/>
      <c r="J72" s="99"/>
    </row>
    <row r="73" spans="1:10" ht="16.899999999999999" customHeight="1">
      <c r="A73" s="99"/>
      <c r="B73" s="99"/>
      <c r="C73" s="99"/>
      <c r="D73" s="502"/>
      <c r="E73" s="99"/>
      <c r="F73" s="99"/>
      <c r="G73" s="99"/>
      <c r="H73" s="99"/>
      <c r="I73" s="99"/>
      <c r="J73" s="99"/>
    </row>
    <row r="74" spans="1:10" ht="16.899999999999999" customHeight="1">
      <c r="A74" s="99"/>
      <c r="B74" s="99"/>
      <c r="C74" s="99"/>
      <c r="D74" s="502"/>
      <c r="E74" s="99"/>
      <c r="F74" s="99"/>
      <c r="G74" s="99"/>
      <c r="H74" s="99"/>
      <c r="I74" s="99"/>
      <c r="J74" s="99"/>
    </row>
    <row r="75" spans="1:10" ht="16.899999999999999" customHeight="1">
      <c r="A75" s="99"/>
      <c r="B75" s="99"/>
      <c r="C75" s="99"/>
      <c r="D75" s="502"/>
      <c r="E75" s="99"/>
      <c r="F75" s="99"/>
      <c r="G75" s="99"/>
      <c r="H75" s="99"/>
      <c r="I75" s="99"/>
      <c r="J75" s="99"/>
    </row>
    <row r="76" spans="1:10" ht="12.75" hidden="1" customHeight="1">
      <c r="A76" s="99"/>
      <c r="B76" s="99"/>
      <c r="C76" s="99"/>
      <c r="D76" s="502"/>
      <c r="E76" s="99"/>
      <c r="F76" s="99"/>
      <c r="G76" s="99"/>
      <c r="H76" s="99"/>
      <c r="I76" s="99"/>
      <c r="J76" s="99"/>
    </row>
    <row r="77" spans="1:10" ht="12.75" hidden="1" customHeight="1">
      <c r="A77" s="99"/>
      <c r="B77" s="99"/>
      <c r="C77" s="99"/>
      <c r="D77" s="502"/>
      <c r="E77" s="99"/>
      <c r="F77" s="99"/>
      <c r="G77" s="99"/>
      <c r="H77" s="99"/>
      <c r="I77" s="99"/>
      <c r="J77" s="99"/>
    </row>
    <row r="78" spans="1:10" ht="12.75" hidden="1" customHeight="1">
      <c r="A78" s="99"/>
      <c r="B78" s="99"/>
      <c r="C78" s="99"/>
      <c r="D78" s="502"/>
      <c r="E78" s="99"/>
      <c r="F78" s="99"/>
      <c r="G78" s="99"/>
      <c r="H78" s="99"/>
      <c r="I78" s="99"/>
      <c r="J78" s="99"/>
    </row>
    <row r="79" spans="1:10" ht="13.5" hidden="1">
      <c r="A79" s="99"/>
      <c r="B79" s="99"/>
      <c r="C79" s="99"/>
      <c r="D79" s="502"/>
      <c r="E79" s="99"/>
      <c r="F79" s="99"/>
      <c r="G79" s="99"/>
      <c r="H79" s="99"/>
      <c r="I79" s="99"/>
      <c r="J79" s="99"/>
    </row>
    <row r="80" spans="1:10" ht="13.5" hidden="1">
      <c r="A80" s="99"/>
      <c r="B80" s="99"/>
      <c r="C80" s="99"/>
      <c r="D80" s="502"/>
      <c r="E80" s="99"/>
      <c r="F80" s="99"/>
      <c r="G80" s="99"/>
      <c r="H80" s="99"/>
      <c r="I80" s="99"/>
      <c r="J80" s="99"/>
    </row>
    <row r="81" spans="1:10" ht="13.5" hidden="1">
      <c r="A81" s="99"/>
      <c r="B81" s="99"/>
      <c r="C81" s="99"/>
      <c r="D81" s="502"/>
      <c r="E81" s="99"/>
      <c r="F81" s="99"/>
      <c r="G81" s="99"/>
      <c r="H81" s="99"/>
      <c r="I81" s="99"/>
      <c r="J81" s="99"/>
    </row>
    <row r="82" spans="1:10" ht="13.5" hidden="1">
      <c r="A82" s="99"/>
      <c r="B82" s="99"/>
      <c r="C82" s="99"/>
      <c r="D82" s="502"/>
      <c r="E82" s="99"/>
      <c r="F82" s="99"/>
      <c r="G82" s="99"/>
      <c r="H82" s="99"/>
      <c r="I82" s="99"/>
      <c r="J82" s="99"/>
    </row>
    <row r="83" spans="1:10" ht="13.5">
      <c r="A83" s="99"/>
      <c r="B83" s="99"/>
      <c r="C83" s="99"/>
      <c r="D83" s="502"/>
      <c r="E83" s="99"/>
      <c r="F83" s="99"/>
      <c r="G83" s="99"/>
      <c r="H83" s="99"/>
      <c r="I83" s="99"/>
      <c r="J83" s="99"/>
    </row>
    <row r="84" spans="1:10" ht="13.5">
      <c r="A84" s="99"/>
      <c r="B84" s="99"/>
      <c r="C84" s="99"/>
      <c r="D84" s="502"/>
      <c r="E84" s="99"/>
      <c r="F84" s="99"/>
      <c r="G84" s="99"/>
      <c r="H84" s="99"/>
      <c r="I84" s="99"/>
      <c r="J84" s="99"/>
    </row>
    <row r="85" spans="1:10" ht="13.5">
      <c r="A85" s="99"/>
      <c r="B85" s="99"/>
      <c r="C85" s="99"/>
      <c r="D85" s="502"/>
      <c r="E85" s="99"/>
      <c r="F85" s="99"/>
      <c r="G85" s="99"/>
      <c r="H85" s="99"/>
      <c r="I85" s="99"/>
      <c r="J85" s="99"/>
    </row>
    <row r="86" spans="1:10" ht="13.5">
      <c r="A86" s="99"/>
      <c r="B86" s="99"/>
      <c r="C86" s="99"/>
      <c r="D86" s="502"/>
      <c r="E86" s="99"/>
      <c r="F86" s="99"/>
      <c r="G86" s="99"/>
      <c r="H86" s="99"/>
      <c r="I86" s="99"/>
      <c r="J86" s="99"/>
    </row>
    <row r="87" spans="1:10" ht="13.5">
      <c r="A87" s="99"/>
      <c r="B87" s="99"/>
      <c r="C87" s="99"/>
      <c r="D87" s="502"/>
      <c r="E87" s="99"/>
      <c r="F87" s="99"/>
      <c r="G87" s="99"/>
      <c r="H87" s="99"/>
      <c r="I87" s="99"/>
      <c r="J87" s="99"/>
    </row>
    <row r="88" spans="1:10" ht="13.5">
      <c r="A88" s="99"/>
      <c r="B88" s="99"/>
      <c r="C88" s="99"/>
      <c r="D88" s="502"/>
      <c r="E88" s="99"/>
      <c r="F88" s="99"/>
      <c r="G88" s="99"/>
      <c r="H88" s="99"/>
      <c r="I88" s="99"/>
      <c r="J88" s="99"/>
    </row>
    <row r="89" spans="1:10" ht="13.5">
      <c r="A89" s="99"/>
      <c r="B89" s="99"/>
      <c r="C89" s="99"/>
      <c r="D89" s="502"/>
      <c r="E89" s="99"/>
      <c r="F89" s="99"/>
      <c r="G89" s="99"/>
      <c r="H89" s="99"/>
      <c r="I89" s="99"/>
      <c r="J89" s="99"/>
    </row>
    <row r="90" spans="1:10" ht="13.5">
      <c r="A90" s="99"/>
      <c r="B90" s="99"/>
      <c r="C90" s="99"/>
      <c r="D90" s="502"/>
      <c r="E90" s="99"/>
      <c r="F90" s="99"/>
      <c r="G90" s="99"/>
      <c r="H90" s="99"/>
      <c r="I90" s="99"/>
      <c r="J90" s="99"/>
    </row>
    <row r="91" spans="1:10" ht="13.5">
      <c r="A91" s="99"/>
      <c r="B91" s="99"/>
      <c r="C91" s="99"/>
      <c r="D91" s="502"/>
      <c r="E91" s="99"/>
      <c r="F91" s="99"/>
      <c r="G91" s="99"/>
      <c r="H91" s="99"/>
      <c r="I91" s="99"/>
      <c r="J91" s="99"/>
    </row>
    <row r="92" spans="1:10" ht="13.5">
      <c r="A92" s="99"/>
      <c r="B92" s="99"/>
      <c r="C92" s="99"/>
      <c r="D92" s="502"/>
      <c r="E92" s="99"/>
      <c r="F92" s="99"/>
      <c r="G92" s="99"/>
      <c r="H92" s="99"/>
      <c r="I92" s="99"/>
      <c r="J92" s="99"/>
    </row>
    <row r="93" spans="1:10" ht="13.5" hidden="1">
      <c r="A93" s="99"/>
      <c r="B93" s="99"/>
      <c r="C93" s="99"/>
      <c r="D93" s="502"/>
      <c r="E93" s="99"/>
      <c r="F93" s="99"/>
      <c r="G93" s="99"/>
      <c r="H93" s="99"/>
      <c r="I93" s="99"/>
    </row>
    <row r="94" spans="1:10" ht="13.5">
      <c r="D94" s="502"/>
    </row>
    <row r="95" spans="1:10"/>
    <row r="96" spans="1:10"/>
    <row r="104"/>
    <row r="105"/>
    <row r="106"/>
    <row r="107"/>
    <row r="108"/>
    <row r="109"/>
    <row r="110"/>
    <row r="111"/>
    <row r="112"/>
    <row r="113"/>
    <row r="114"/>
    <row r="115"/>
    <row r="116"/>
    <row r="117"/>
    <row r="118"/>
    <row r="119"/>
  </sheetData>
  <sheetProtection sheet="1" objects="1" scenarios="1" selectLockedCells="1"/>
  <mergeCells count="27">
    <mergeCell ref="G33:I33"/>
    <mergeCell ref="G34:I34"/>
    <mergeCell ref="G35:I35"/>
    <mergeCell ref="A39:D39"/>
    <mergeCell ref="A2:D2"/>
    <mergeCell ref="A7:A37"/>
    <mergeCell ref="B7:B23"/>
    <mergeCell ref="C15:C17"/>
    <mergeCell ref="C18:C21"/>
    <mergeCell ref="B37:D37"/>
    <mergeCell ref="B24:B29"/>
    <mergeCell ref="B30:B36"/>
    <mergeCell ref="G2:I2"/>
    <mergeCell ref="A3:A6"/>
    <mergeCell ref="B3:D3"/>
    <mergeCell ref="G3:I3"/>
    <mergeCell ref="G32:I32"/>
    <mergeCell ref="G30:I30"/>
    <mergeCell ref="G24:I24"/>
    <mergeCell ref="B4:D4"/>
    <mergeCell ref="G4:I4"/>
    <mergeCell ref="B6:D6"/>
    <mergeCell ref="G6:I6"/>
    <mergeCell ref="G31:I31"/>
    <mergeCell ref="B5:D5"/>
    <mergeCell ref="G5:I5"/>
    <mergeCell ref="G22:I22"/>
  </mergeCells>
  <phoneticPr fontId="14"/>
  <printOptions horizontalCentered="1"/>
  <pageMargins left="0.82677165354330717" right="0.82677165354330717" top="1.3385826771653544" bottom="0.74803149606299213" header="0.9055118110236221" footer="0.31496062992125984"/>
  <pageSetup paperSize="9" scale="76" firstPageNumber="0" orientation="portrait" cellComments="asDisplayed" horizontalDpi="4294967293" verticalDpi="300" r:id="rId1"/>
  <headerFooter alignWithMargins="0">
    <oddHeader>&amp;L二条大麦「サチホゴールデン」11月中旬播種（平坦地）</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Z38"/>
  <sheetViews>
    <sheetView showGridLines="0" workbookViewId="0">
      <selection activeCell="G2" sqref="G2:G10"/>
    </sheetView>
  </sheetViews>
  <sheetFormatPr defaultColWidth="10.5" defaultRowHeight="13.5"/>
  <cols>
    <col min="1" max="1" width="16.25" customWidth="1"/>
  </cols>
  <sheetData>
    <row r="1" spans="1:26" s="12" customFormat="1">
      <c r="B1" s="13"/>
      <c r="C1" s="14" t="s">
        <v>112</v>
      </c>
      <c r="D1" s="14" t="s">
        <v>98</v>
      </c>
      <c r="E1" s="14" t="s">
        <v>95</v>
      </c>
      <c r="F1" s="14" t="s">
        <v>101</v>
      </c>
      <c r="G1" s="14" t="s">
        <v>149</v>
      </c>
      <c r="H1" s="14" t="s">
        <v>115</v>
      </c>
      <c r="I1" s="14" t="s">
        <v>150</v>
      </c>
      <c r="J1" s="14" t="s">
        <v>121</v>
      </c>
      <c r="K1" s="14" t="s">
        <v>118</v>
      </c>
      <c r="L1" s="14" t="s">
        <v>127</v>
      </c>
      <c r="M1" s="14" t="s">
        <v>125</v>
      </c>
      <c r="N1" s="14" t="s">
        <v>108</v>
      </c>
      <c r="P1" s="15" t="s">
        <v>196</v>
      </c>
      <c r="Q1" s="15" t="s">
        <v>80</v>
      </c>
      <c r="S1" s="15" t="s">
        <v>197</v>
      </c>
      <c r="U1" s="15" t="s">
        <v>160</v>
      </c>
      <c r="W1" s="15" t="s">
        <v>259</v>
      </c>
      <c r="Y1" s="613" t="s">
        <v>565</v>
      </c>
      <c r="Z1" s="613" t="s">
        <v>566</v>
      </c>
    </row>
    <row r="2" spans="1:26">
      <c r="A2" s="467" t="s">
        <v>112</v>
      </c>
      <c r="B2" s="468">
        <v>1</v>
      </c>
      <c r="C2" s="469" t="s">
        <v>113</v>
      </c>
      <c r="D2" s="469" t="s">
        <v>99</v>
      </c>
      <c r="E2" s="469" t="s">
        <v>166</v>
      </c>
      <c r="F2" s="469" t="s">
        <v>104</v>
      </c>
      <c r="G2" s="469" t="s">
        <v>71</v>
      </c>
      <c r="H2" s="469" t="s">
        <v>179</v>
      </c>
      <c r="I2" s="469" t="s">
        <v>183</v>
      </c>
      <c r="J2" s="469" t="s">
        <v>186</v>
      </c>
      <c r="K2" s="469" t="s">
        <v>119</v>
      </c>
      <c r="L2" s="469" t="s">
        <v>251</v>
      </c>
      <c r="M2" s="469" t="s">
        <v>153</v>
      </c>
      <c r="N2" s="469" t="s">
        <v>157</v>
      </c>
      <c r="P2" s="16" t="s">
        <v>198</v>
      </c>
      <c r="Q2" s="16" t="s">
        <v>114</v>
      </c>
      <c r="S2" t="s">
        <v>71</v>
      </c>
      <c r="U2" t="s">
        <v>190</v>
      </c>
      <c r="W2" s="19" t="s">
        <v>260</v>
      </c>
      <c r="Y2" t="s">
        <v>567</v>
      </c>
      <c r="Z2" t="s">
        <v>568</v>
      </c>
    </row>
    <row r="3" spans="1:26">
      <c r="A3" s="468" t="s">
        <v>98</v>
      </c>
      <c r="B3" s="468">
        <v>2</v>
      </c>
      <c r="C3" s="469" t="s">
        <v>161</v>
      </c>
      <c r="D3" s="469" t="s">
        <v>163</v>
      </c>
      <c r="E3" s="469" t="s">
        <v>96</v>
      </c>
      <c r="F3" s="469" t="s">
        <v>106</v>
      </c>
      <c r="G3" s="469" t="s">
        <v>69</v>
      </c>
      <c r="H3" s="469" t="s">
        <v>180</v>
      </c>
      <c r="I3" s="469" t="s">
        <v>184</v>
      </c>
      <c r="J3" s="469" t="s">
        <v>122</v>
      </c>
      <c r="K3" s="469" t="s">
        <v>187</v>
      </c>
      <c r="L3" s="469" t="s">
        <v>252</v>
      </c>
      <c r="M3" s="469" t="s">
        <v>126</v>
      </c>
      <c r="N3" s="469" t="s">
        <v>123</v>
      </c>
      <c r="P3" s="16" t="s">
        <v>199</v>
      </c>
      <c r="Q3" s="16" t="s">
        <v>200</v>
      </c>
      <c r="S3" t="s">
        <v>69</v>
      </c>
      <c r="U3" t="s">
        <v>165</v>
      </c>
      <c r="W3" s="19" t="s">
        <v>261</v>
      </c>
      <c r="Y3" t="s">
        <v>563</v>
      </c>
      <c r="Z3" t="s">
        <v>569</v>
      </c>
    </row>
    <row r="4" spans="1:26">
      <c r="A4" s="468" t="s">
        <v>95</v>
      </c>
      <c r="B4" s="468">
        <v>3</v>
      </c>
      <c r="C4" s="469" t="s">
        <v>162</v>
      </c>
      <c r="D4" s="469" t="s">
        <v>164</v>
      </c>
      <c r="E4" s="469" t="s">
        <v>97</v>
      </c>
      <c r="F4" s="469" t="s">
        <v>170</v>
      </c>
      <c r="G4" s="469" t="s">
        <v>173</v>
      </c>
      <c r="H4" s="469" t="s">
        <v>181</v>
      </c>
      <c r="I4" s="469" t="s">
        <v>185</v>
      </c>
      <c r="J4" s="469"/>
      <c r="K4" s="469" t="s">
        <v>188</v>
      </c>
      <c r="L4" s="469"/>
      <c r="M4" s="469" t="s">
        <v>154</v>
      </c>
      <c r="N4" s="470" t="s">
        <v>109</v>
      </c>
      <c r="P4" s="16" t="s">
        <v>201</v>
      </c>
      <c r="Q4" s="16" t="s">
        <v>105</v>
      </c>
      <c r="S4" t="s">
        <v>176</v>
      </c>
      <c r="U4" t="s">
        <v>202</v>
      </c>
      <c r="W4" s="19" t="s">
        <v>262</v>
      </c>
      <c r="Y4" t="s">
        <v>570</v>
      </c>
      <c r="Z4" t="s">
        <v>571</v>
      </c>
    </row>
    <row r="5" spans="1:26">
      <c r="A5" s="468" t="s">
        <v>101</v>
      </c>
      <c r="B5" s="468">
        <v>4</v>
      </c>
      <c r="C5" s="469"/>
      <c r="D5" s="469"/>
      <c r="E5" s="469" t="s">
        <v>167</v>
      </c>
      <c r="F5" s="469" t="s">
        <v>171</v>
      </c>
      <c r="G5" s="469" t="s">
        <v>174</v>
      </c>
      <c r="H5" s="469" t="s">
        <v>182</v>
      </c>
      <c r="I5" s="469"/>
      <c r="J5" s="469"/>
      <c r="K5" s="469" t="s">
        <v>189</v>
      </c>
      <c r="L5" s="469"/>
      <c r="M5" s="469" t="s">
        <v>155</v>
      </c>
      <c r="N5" s="469" t="s">
        <v>192</v>
      </c>
      <c r="P5" s="16" t="s">
        <v>203</v>
      </c>
      <c r="Q5" s="16" t="s">
        <v>103</v>
      </c>
      <c r="S5" t="s">
        <v>173</v>
      </c>
      <c r="W5" s="19" t="s">
        <v>263</v>
      </c>
    </row>
    <row r="6" spans="1:26">
      <c r="A6" s="468" t="s">
        <v>115</v>
      </c>
      <c r="B6" s="468">
        <v>5</v>
      </c>
      <c r="C6" s="469"/>
      <c r="D6" s="469"/>
      <c r="E6" s="469" t="s">
        <v>168</v>
      </c>
      <c r="F6" s="469" t="s">
        <v>102</v>
      </c>
      <c r="G6" s="469" t="s">
        <v>178</v>
      </c>
      <c r="H6" s="469" t="s">
        <v>116</v>
      </c>
      <c r="I6" s="469"/>
      <c r="J6" s="469"/>
      <c r="K6" s="469"/>
      <c r="L6" s="469"/>
      <c r="M6" s="469" t="s">
        <v>191</v>
      </c>
      <c r="N6" s="469" t="s">
        <v>124</v>
      </c>
      <c r="P6" s="16" t="s">
        <v>204</v>
      </c>
      <c r="Q6" s="16" t="s">
        <v>205</v>
      </c>
      <c r="S6" t="s">
        <v>174</v>
      </c>
      <c r="W6" s="19" t="s">
        <v>264</v>
      </c>
    </row>
    <row r="7" spans="1:26">
      <c r="A7" s="468" t="s">
        <v>206</v>
      </c>
      <c r="B7" s="468">
        <v>6</v>
      </c>
      <c r="C7" s="469"/>
      <c r="D7" s="469"/>
      <c r="E7" s="469" t="s">
        <v>169</v>
      </c>
      <c r="F7" s="469" t="s">
        <v>172</v>
      </c>
      <c r="G7" s="469" t="s">
        <v>300</v>
      </c>
      <c r="H7" s="471" t="s">
        <v>280</v>
      </c>
      <c r="I7" s="469"/>
      <c r="J7" s="469"/>
      <c r="K7" s="469"/>
      <c r="L7" s="469"/>
      <c r="M7" s="469"/>
      <c r="N7" s="469" t="s">
        <v>193</v>
      </c>
      <c r="P7" s="16" t="s">
        <v>207</v>
      </c>
      <c r="Q7" s="16" t="s">
        <v>208</v>
      </c>
      <c r="S7" t="s">
        <v>175</v>
      </c>
      <c r="W7" s="19" t="s">
        <v>265</v>
      </c>
    </row>
    <row r="8" spans="1:26">
      <c r="A8" s="468" t="s">
        <v>150</v>
      </c>
      <c r="B8" s="468">
        <v>7</v>
      </c>
      <c r="C8" s="469"/>
      <c r="D8" s="469"/>
      <c r="E8" s="469"/>
      <c r="F8" s="469"/>
      <c r="G8" s="469" t="s">
        <v>576</v>
      </c>
      <c r="H8" s="471" t="s">
        <v>279</v>
      </c>
      <c r="I8" s="469"/>
      <c r="J8" s="469"/>
      <c r="K8" s="469"/>
      <c r="L8" s="469"/>
      <c r="M8" s="469"/>
      <c r="N8" s="469" t="s">
        <v>194</v>
      </c>
      <c r="P8" s="16" t="s">
        <v>209</v>
      </c>
      <c r="Q8" s="16" t="s">
        <v>210</v>
      </c>
      <c r="S8" t="s">
        <v>177</v>
      </c>
      <c r="W8" s="19" t="s">
        <v>266</v>
      </c>
    </row>
    <row r="9" spans="1:26">
      <c r="A9" s="468" t="s">
        <v>127</v>
      </c>
      <c r="B9" s="468">
        <v>8</v>
      </c>
      <c r="C9" s="469"/>
      <c r="D9" s="469"/>
      <c r="E9" s="469"/>
      <c r="F9" s="469"/>
      <c r="G9" s="469" t="s">
        <v>577</v>
      </c>
      <c r="H9" s="471" t="s">
        <v>281</v>
      </c>
      <c r="I9" s="469"/>
      <c r="J9" s="469"/>
      <c r="K9" s="469"/>
      <c r="L9" s="469"/>
      <c r="M9" s="469"/>
      <c r="N9" s="469" t="s">
        <v>111</v>
      </c>
      <c r="P9" s="16" t="s">
        <v>211</v>
      </c>
      <c r="Q9" s="16" t="s">
        <v>212</v>
      </c>
      <c r="W9" s="19" t="s">
        <v>268</v>
      </c>
    </row>
    <row r="10" spans="1:26">
      <c r="A10" s="468" t="s">
        <v>118</v>
      </c>
      <c r="B10" s="468">
        <v>9</v>
      </c>
      <c r="C10" s="469"/>
      <c r="D10" s="469"/>
      <c r="E10" s="469"/>
      <c r="F10" s="469"/>
      <c r="G10" s="469" t="s">
        <v>578</v>
      </c>
      <c r="H10" s="471" t="s">
        <v>282</v>
      </c>
      <c r="I10" s="469"/>
      <c r="J10" s="469"/>
      <c r="K10" s="469"/>
      <c r="L10" s="469"/>
      <c r="M10" s="469"/>
      <c r="N10" s="469" t="s">
        <v>195</v>
      </c>
      <c r="P10" s="16" t="s">
        <v>213</v>
      </c>
      <c r="Q10" s="16" t="s">
        <v>214</v>
      </c>
      <c r="W10" s="19" t="s">
        <v>273</v>
      </c>
    </row>
    <row r="11" spans="1:26">
      <c r="A11" s="468" t="s">
        <v>121</v>
      </c>
      <c r="B11" s="468">
        <v>10</v>
      </c>
      <c r="C11" s="469"/>
      <c r="D11" s="469"/>
      <c r="E11" s="469"/>
      <c r="F11" s="469"/>
      <c r="G11" s="469"/>
      <c r="H11" s="471" t="s">
        <v>283</v>
      </c>
      <c r="I11" s="469"/>
      <c r="J11" s="469"/>
      <c r="K11" s="469"/>
      <c r="L11" s="469"/>
      <c r="M11" s="469"/>
      <c r="N11" s="469"/>
      <c r="P11" s="16" t="s">
        <v>215</v>
      </c>
      <c r="Q11" s="16" t="s">
        <v>216</v>
      </c>
      <c r="W11" s="19" t="s">
        <v>272</v>
      </c>
    </row>
    <row r="12" spans="1:26">
      <c r="A12" s="468" t="s">
        <v>217</v>
      </c>
      <c r="B12" s="468">
        <v>11</v>
      </c>
      <c r="C12" s="469"/>
      <c r="D12" s="469"/>
      <c r="E12" s="469"/>
      <c r="F12" s="469"/>
      <c r="G12" s="469"/>
      <c r="H12" s="469"/>
      <c r="I12" s="469"/>
      <c r="J12" s="469"/>
      <c r="K12" s="469"/>
      <c r="L12" s="469"/>
      <c r="M12" s="469"/>
      <c r="N12" s="469"/>
      <c r="P12" s="16" t="s">
        <v>218</v>
      </c>
      <c r="Q12" s="16" t="s">
        <v>117</v>
      </c>
      <c r="W12" s="19" t="s">
        <v>271</v>
      </c>
    </row>
    <row r="13" spans="1:26">
      <c r="A13" s="468" t="s">
        <v>109</v>
      </c>
      <c r="B13" s="468">
        <v>12</v>
      </c>
      <c r="C13" s="469"/>
      <c r="D13" s="469"/>
      <c r="E13" s="469"/>
      <c r="F13" s="469"/>
      <c r="G13" s="469"/>
      <c r="H13" s="469"/>
      <c r="I13" s="469"/>
      <c r="J13" s="469"/>
      <c r="K13" s="469"/>
      <c r="L13" s="469"/>
      <c r="M13" s="469"/>
      <c r="N13" s="469"/>
      <c r="P13" s="16" t="s">
        <v>219</v>
      </c>
      <c r="Q13" s="16" t="s">
        <v>220</v>
      </c>
      <c r="W13" s="19" t="s">
        <v>270</v>
      </c>
    </row>
    <row r="14" spans="1:26">
      <c r="A14" s="468" t="s">
        <v>221</v>
      </c>
      <c r="B14" s="468">
        <v>13</v>
      </c>
      <c r="C14" s="469"/>
      <c r="D14" s="469"/>
      <c r="E14" s="469"/>
      <c r="F14" s="469"/>
      <c r="G14" s="469"/>
      <c r="H14" s="469"/>
      <c r="I14" s="469"/>
      <c r="J14" s="469"/>
      <c r="K14" s="469"/>
      <c r="L14" s="469"/>
      <c r="M14" s="469"/>
      <c r="N14" s="469"/>
      <c r="P14" s="16" t="s">
        <v>222</v>
      </c>
      <c r="Q14" s="16" t="s">
        <v>100</v>
      </c>
      <c r="W14" s="19" t="s">
        <v>269</v>
      </c>
    </row>
    <row r="15" spans="1:26">
      <c r="A15" s="468" t="s">
        <v>223</v>
      </c>
      <c r="B15" s="468">
        <v>14</v>
      </c>
      <c r="C15" s="469"/>
      <c r="D15" s="469"/>
      <c r="E15" s="469"/>
      <c r="F15" s="469"/>
      <c r="G15" s="469"/>
      <c r="H15" s="469"/>
      <c r="I15" s="469"/>
      <c r="J15" s="469"/>
      <c r="K15" s="469"/>
      <c r="L15" s="469"/>
      <c r="M15" s="469"/>
      <c r="N15" s="469"/>
      <c r="P15" s="16" t="s">
        <v>224</v>
      </c>
      <c r="Q15" s="16" t="s">
        <v>225</v>
      </c>
      <c r="W15" s="19" t="s">
        <v>267</v>
      </c>
    </row>
    <row r="16" spans="1:26">
      <c r="A16" s="469"/>
      <c r="B16" s="469"/>
      <c r="C16" s="469"/>
      <c r="D16" s="469"/>
      <c r="E16" s="469"/>
      <c r="F16" s="469"/>
      <c r="G16" s="469"/>
      <c r="H16" s="469"/>
      <c r="I16" s="469"/>
      <c r="J16" s="469"/>
      <c r="K16" s="469"/>
      <c r="L16" s="469"/>
      <c r="M16" s="469"/>
      <c r="N16" s="469"/>
      <c r="P16" s="16" t="s">
        <v>226</v>
      </c>
      <c r="Q16" s="16" t="s">
        <v>227</v>
      </c>
    </row>
    <row r="17" spans="1:17">
      <c r="A17" s="469"/>
      <c r="B17" s="469"/>
      <c r="C17" s="469"/>
      <c r="D17" s="469"/>
      <c r="E17" s="469"/>
      <c r="F17" s="469"/>
      <c r="G17" s="469"/>
      <c r="H17" s="469"/>
      <c r="I17" s="469"/>
      <c r="J17" s="469"/>
      <c r="K17" s="469"/>
      <c r="L17" s="469"/>
      <c r="M17" s="469"/>
      <c r="N17" s="469"/>
      <c r="P17" s="16" t="s">
        <v>228</v>
      </c>
      <c r="Q17" s="16" t="s">
        <v>229</v>
      </c>
    </row>
    <row r="18" spans="1:17">
      <c r="A18" s="469"/>
      <c r="B18" s="469"/>
      <c r="C18" s="469"/>
      <c r="D18" s="469"/>
      <c r="E18" s="469"/>
      <c r="F18" s="469"/>
      <c r="G18" s="469"/>
      <c r="H18" s="469"/>
      <c r="I18" s="469"/>
      <c r="J18" s="469"/>
      <c r="K18" s="469"/>
      <c r="L18" s="469"/>
      <c r="M18" s="469"/>
      <c r="N18" s="469"/>
      <c r="P18" s="16" t="s">
        <v>230</v>
      </c>
      <c r="Q18" s="16" t="s">
        <v>231</v>
      </c>
    </row>
    <row r="19" spans="1:17">
      <c r="A19" s="469"/>
      <c r="B19" s="469"/>
      <c r="C19" s="469"/>
      <c r="D19" s="469"/>
      <c r="E19" s="469"/>
      <c r="F19" s="469"/>
      <c r="G19" s="469"/>
      <c r="H19" s="469"/>
      <c r="I19" s="469"/>
      <c r="J19" s="469"/>
      <c r="K19" s="469"/>
      <c r="L19" s="469"/>
      <c r="M19" s="469"/>
      <c r="N19" s="469"/>
      <c r="P19" s="16" t="s">
        <v>232</v>
      </c>
      <c r="Q19" s="16" t="s">
        <v>159</v>
      </c>
    </row>
    <row r="20" spans="1:17">
      <c r="A20" s="469"/>
      <c r="B20" s="469"/>
      <c r="C20" s="469"/>
      <c r="D20" s="469"/>
      <c r="E20" s="469"/>
      <c r="F20" s="469"/>
      <c r="G20" s="469"/>
      <c r="H20" s="469"/>
      <c r="I20" s="469"/>
      <c r="J20" s="469"/>
      <c r="K20" s="469"/>
      <c r="L20" s="469"/>
      <c r="M20" s="469"/>
      <c r="N20" s="469"/>
      <c r="P20" s="16" t="s">
        <v>233</v>
      </c>
      <c r="Q20" s="16" t="s">
        <v>234</v>
      </c>
    </row>
    <row r="21" spans="1:17">
      <c r="A21" s="469"/>
      <c r="B21" s="469"/>
      <c r="C21" s="469"/>
      <c r="D21" s="469"/>
      <c r="E21" s="469"/>
      <c r="F21" s="469"/>
      <c r="G21" s="469"/>
      <c r="H21" s="469"/>
      <c r="I21" s="469"/>
      <c r="J21" s="469"/>
      <c r="K21" s="469"/>
      <c r="L21" s="469"/>
      <c r="M21" s="469"/>
      <c r="N21" s="469"/>
      <c r="P21" s="16" t="s">
        <v>235</v>
      </c>
      <c r="Q21" s="17" t="s">
        <v>128</v>
      </c>
    </row>
    <row r="22" spans="1:17">
      <c r="A22" s="469"/>
      <c r="B22" s="469"/>
      <c r="C22" s="469"/>
      <c r="D22" s="469"/>
      <c r="E22" s="469"/>
      <c r="F22" s="469"/>
      <c r="G22" s="469"/>
      <c r="H22" s="469"/>
      <c r="I22" s="469"/>
      <c r="J22" s="469"/>
      <c r="K22" s="469"/>
      <c r="L22" s="469"/>
      <c r="M22" s="469"/>
      <c r="N22" s="469"/>
      <c r="P22" s="16" t="s">
        <v>236</v>
      </c>
      <c r="Q22" s="18" t="s">
        <v>120</v>
      </c>
    </row>
    <row r="23" spans="1:17">
      <c r="A23" s="469"/>
      <c r="B23" s="469"/>
      <c r="C23" s="469"/>
      <c r="D23" s="469"/>
      <c r="E23" s="469"/>
      <c r="F23" s="469"/>
      <c r="G23" s="469"/>
      <c r="H23" s="469"/>
      <c r="I23" s="469"/>
      <c r="J23" s="469"/>
      <c r="K23" s="469"/>
      <c r="L23" s="469"/>
      <c r="M23" s="469"/>
      <c r="N23" s="469"/>
      <c r="P23" s="16" t="s">
        <v>68</v>
      </c>
      <c r="Q23" s="17" t="s">
        <v>110</v>
      </c>
    </row>
    <row r="24" spans="1:17">
      <c r="A24" s="469"/>
      <c r="B24" s="469"/>
      <c r="C24" s="469"/>
      <c r="D24" s="469"/>
      <c r="E24" s="469"/>
      <c r="F24" s="469"/>
      <c r="G24" s="469"/>
      <c r="H24" s="469"/>
      <c r="I24" s="469"/>
      <c r="J24" s="469"/>
      <c r="K24" s="469"/>
      <c r="L24" s="469"/>
      <c r="M24" s="469"/>
      <c r="N24" s="469"/>
      <c r="P24" s="16" t="s">
        <v>237</v>
      </c>
      <c r="Q24" s="18" t="s">
        <v>238</v>
      </c>
    </row>
    <row r="25" spans="1:17">
      <c r="A25" s="469"/>
      <c r="B25" s="469"/>
      <c r="C25" s="469"/>
      <c r="D25" s="469"/>
      <c r="E25" s="469"/>
      <c r="F25" s="469"/>
      <c r="G25" s="469"/>
      <c r="H25" s="469"/>
      <c r="I25" s="469"/>
      <c r="J25" s="469"/>
      <c r="K25" s="469"/>
      <c r="L25" s="469"/>
      <c r="M25" s="469"/>
      <c r="N25" s="469"/>
      <c r="P25" s="16" t="s">
        <v>70</v>
      </c>
      <c r="Q25" s="18" t="s">
        <v>239</v>
      </c>
    </row>
    <row r="26" spans="1:17">
      <c r="P26" s="16" t="s">
        <v>240</v>
      </c>
      <c r="Q26" s="18" t="s">
        <v>241</v>
      </c>
    </row>
    <row r="27" spans="1:17">
      <c r="P27" s="16" t="s">
        <v>242</v>
      </c>
      <c r="Q27" s="18" t="s">
        <v>241</v>
      </c>
    </row>
    <row r="28" spans="1:17">
      <c r="P28" s="16" t="s">
        <v>73</v>
      </c>
      <c r="Q28" s="18" t="s">
        <v>243</v>
      </c>
    </row>
    <row r="29" spans="1:17">
      <c r="P29" s="16" t="s">
        <v>244</v>
      </c>
      <c r="Q29" s="18" t="s">
        <v>245</v>
      </c>
    </row>
    <row r="30" spans="1:17">
      <c r="P30" s="16" t="s">
        <v>72</v>
      </c>
      <c r="Q30" s="18" t="s">
        <v>241</v>
      </c>
    </row>
    <row r="31" spans="1:17">
      <c r="P31" s="16" t="s">
        <v>246</v>
      </c>
      <c r="Q31" s="18" t="s">
        <v>241</v>
      </c>
    </row>
    <row r="32" spans="1:17">
      <c r="P32" s="16" t="s">
        <v>75</v>
      </c>
      <c r="Q32" s="583" t="s">
        <v>80</v>
      </c>
    </row>
    <row r="33" spans="16:17">
      <c r="P33" s="16" t="s">
        <v>247</v>
      </c>
      <c r="Q33" s="583" t="s">
        <v>554</v>
      </c>
    </row>
    <row r="34" spans="16:17">
      <c r="P34" s="16" t="s">
        <v>248</v>
      </c>
    </row>
    <row r="35" spans="16:17">
      <c r="P35" s="16" t="s">
        <v>74</v>
      </c>
    </row>
    <row r="36" spans="16:17">
      <c r="P36" s="16" t="s">
        <v>249</v>
      </c>
    </row>
    <row r="37" spans="16:17">
      <c r="P37" s="16" t="s">
        <v>250</v>
      </c>
    </row>
    <row r="38" spans="16:17">
      <c r="P38" s="16" t="s">
        <v>107</v>
      </c>
    </row>
  </sheetData>
  <phoneticPr fontId="14"/>
  <pageMargins left="0.74803149606299213" right="0.74803149606299213" top="0.98425196850393704" bottom="0.98425196850393704" header="0.51181102362204722" footer="0.51181102362204722"/>
  <pageSetup paperSize="9" scale="52" firstPageNumber="0" orientation="landscape" verticalDpi="300" r:id="rId1"/>
  <headerFooter alignWithMargins="0">
    <oddHeader>&amp;R&amp;"ＭＳ ゴシック,標準"&amp;14生産技術体系作成様式　様式②－10（科目設定）</oddHeader>
    <oddFooter>&amp;C&amp;14 12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C000"/>
    <pageSetUpPr fitToPage="1"/>
  </sheetPr>
  <dimension ref="B1:AR40"/>
  <sheetViews>
    <sheetView showGridLines="0" zoomScaleSheetLayoutView="100" workbookViewId="0">
      <pane xSplit="3" ySplit="8" topLeftCell="D9" activePane="bottomRight" state="frozen"/>
      <selection pane="topRight" activeCell="D1" sqref="D1"/>
      <selection pane="bottomLeft" activeCell="A9" sqref="A9"/>
      <selection pane="bottomRight" activeCell="D35" sqref="D35"/>
    </sheetView>
  </sheetViews>
  <sheetFormatPr defaultRowHeight="12"/>
  <cols>
    <col min="1" max="1" width="2.625" style="11" customWidth="1"/>
    <col min="2" max="2" width="5.875" style="11" customWidth="1"/>
    <col min="3" max="3" width="18.5" style="11" customWidth="1"/>
    <col min="4" max="39" width="6.25" style="11" customWidth="1"/>
    <col min="40" max="40" width="9.125" style="11" bestFit="1" customWidth="1"/>
    <col min="41" max="41" width="4.75" style="11" customWidth="1"/>
    <col min="42" max="16384" width="9" style="11"/>
  </cols>
  <sheetData>
    <row r="1" spans="2:44" ht="17.25" customHeight="1">
      <c r="B1" s="441" t="s">
        <v>129</v>
      </c>
      <c r="C1" s="442"/>
      <c r="N1" s="36"/>
      <c r="O1" s="36"/>
      <c r="Z1" s="36"/>
      <c r="AA1" s="36"/>
      <c r="AL1" s="36"/>
      <c r="AM1" s="36" t="s">
        <v>130</v>
      </c>
    </row>
    <row r="2" spans="2:44">
      <c r="B2" s="719" t="s">
        <v>131</v>
      </c>
      <c r="C2" s="719"/>
      <c r="D2" s="720">
        <v>1</v>
      </c>
      <c r="E2" s="720"/>
      <c r="F2" s="720"/>
      <c r="G2" s="714">
        <v>2</v>
      </c>
      <c r="H2" s="714"/>
      <c r="I2" s="714"/>
      <c r="J2" s="714">
        <v>3</v>
      </c>
      <c r="K2" s="714"/>
      <c r="L2" s="714"/>
      <c r="M2" s="714">
        <v>4</v>
      </c>
      <c r="N2" s="714"/>
      <c r="O2" s="714"/>
      <c r="P2" s="714">
        <v>5</v>
      </c>
      <c r="Q2" s="714"/>
      <c r="R2" s="714"/>
      <c r="S2" s="714">
        <v>6</v>
      </c>
      <c r="T2" s="714"/>
      <c r="U2" s="714"/>
      <c r="V2" s="714">
        <v>7</v>
      </c>
      <c r="W2" s="714"/>
      <c r="X2" s="714"/>
      <c r="Y2" s="714">
        <v>8</v>
      </c>
      <c r="Z2" s="714"/>
      <c r="AA2" s="714"/>
      <c r="AB2" s="714">
        <v>9</v>
      </c>
      <c r="AC2" s="714"/>
      <c r="AD2" s="714"/>
      <c r="AE2" s="714">
        <v>10</v>
      </c>
      <c r="AF2" s="714"/>
      <c r="AG2" s="714"/>
      <c r="AH2" s="714">
        <v>11</v>
      </c>
      <c r="AI2" s="714"/>
      <c r="AJ2" s="714"/>
      <c r="AK2" s="715">
        <v>12</v>
      </c>
      <c r="AL2" s="715"/>
      <c r="AM2" s="715"/>
      <c r="AN2" s="713" t="s">
        <v>132</v>
      </c>
    </row>
    <row r="3" spans="2:44">
      <c r="B3" s="719"/>
      <c r="C3" s="719"/>
      <c r="D3" s="37" t="s">
        <v>133</v>
      </c>
      <c r="E3" s="37" t="s">
        <v>134</v>
      </c>
      <c r="F3" s="37" t="s">
        <v>135</v>
      </c>
      <c r="G3" s="37" t="s">
        <v>133</v>
      </c>
      <c r="H3" s="37" t="s">
        <v>134</v>
      </c>
      <c r="I3" s="37" t="s">
        <v>135</v>
      </c>
      <c r="J3" s="37" t="s">
        <v>133</v>
      </c>
      <c r="K3" s="37" t="s">
        <v>134</v>
      </c>
      <c r="L3" s="37" t="s">
        <v>135</v>
      </c>
      <c r="M3" s="37" t="s">
        <v>133</v>
      </c>
      <c r="N3" s="37" t="s">
        <v>134</v>
      </c>
      <c r="O3" s="37" t="s">
        <v>135</v>
      </c>
      <c r="P3" s="38" t="s">
        <v>133</v>
      </c>
      <c r="Q3" s="37" t="s">
        <v>134</v>
      </c>
      <c r="R3" s="37" t="s">
        <v>135</v>
      </c>
      <c r="S3" s="37" t="s">
        <v>133</v>
      </c>
      <c r="T3" s="37" t="s">
        <v>134</v>
      </c>
      <c r="U3" s="37" t="s">
        <v>135</v>
      </c>
      <c r="V3" s="37" t="s">
        <v>133</v>
      </c>
      <c r="W3" s="37" t="s">
        <v>134</v>
      </c>
      <c r="X3" s="37" t="s">
        <v>135</v>
      </c>
      <c r="Y3" s="37" t="s">
        <v>133</v>
      </c>
      <c r="Z3" s="37" t="s">
        <v>134</v>
      </c>
      <c r="AA3" s="37" t="s">
        <v>135</v>
      </c>
      <c r="AB3" s="38" t="s">
        <v>133</v>
      </c>
      <c r="AC3" s="37" t="s">
        <v>134</v>
      </c>
      <c r="AD3" s="37" t="s">
        <v>135</v>
      </c>
      <c r="AE3" s="37" t="s">
        <v>133</v>
      </c>
      <c r="AF3" s="37" t="s">
        <v>134</v>
      </c>
      <c r="AG3" s="37" t="s">
        <v>135</v>
      </c>
      <c r="AH3" s="37" t="s">
        <v>133</v>
      </c>
      <c r="AI3" s="37" t="s">
        <v>134</v>
      </c>
      <c r="AJ3" s="37" t="s">
        <v>135</v>
      </c>
      <c r="AK3" s="37" t="s">
        <v>133</v>
      </c>
      <c r="AL3" s="37" t="s">
        <v>134</v>
      </c>
      <c r="AM3" s="39" t="s">
        <v>135</v>
      </c>
      <c r="AN3" s="713"/>
    </row>
    <row r="4" spans="2:44" ht="13.5">
      <c r="B4" s="721" t="s">
        <v>276</v>
      </c>
      <c r="C4" s="716" t="s">
        <v>277</v>
      </c>
      <c r="D4" s="40"/>
      <c r="E4" s="41"/>
      <c r="F4" s="41"/>
      <c r="G4" s="41"/>
      <c r="H4" s="41"/>
      <c r="I4" s="42"/>
      <c r="J4" s="42"/>
      <c r="K4" s="41"/>
      <c r="L4" s="41"/>
      <c r="M4" s="41"/>
      <c r="N4" s="41"/>
      <c r="O4" s="41"/>
      <c r="P4" s="40"/>
      <c r="Q4" s="41"/>
      <c r="R4" s="41"/>
      <c r="S4" s="41"/>
      <c r="T4" s="41"/>
      <c r="U4" s="42"/>
      <c r="V4" s="42"/>
      <c r="W4" s="41"/>
      <c r="X4" s="41"/>
      <c r="Y4" s="41"/>
      <c r="Z4" s="41"/>
      <c r="AA4" s="41"/>
      <c r="AB4" s="40"/>
      <c r="AC4" s="41"/>
      <c r="AD4" s="41"/>
      <c r="AE4" s="41"/>
      <c r="AF4" s="41"/>
      <c r="AG4" s="42"/>
      <c r="AH4" s="42"/>
      <c r="AI4" s="41"/>
      <c r="AJ4" s="41"/>
      <c r="AK4" s="41"/>
      <c r="AL4" s="41"/>
      <c r="AM4" s="41"/>
      <c r="AN4" s="43"/>
      <c r="AP4" s="10"/>
      <c r="AQ4" s="10"/>
      <c r="AR4" s="10"/>
    </row>
    <row r="5" spans="2:44" ht="12" customHeight="1">
      <c r="B5" s="722"/>
      <c r="C5" s="717"/>
      <c r="D5" s="40" t="s">
        <v>136</v>
      </c>
      <c r="E5" s="41" t="s">
        <v>136</v>
      </c>
      <c r="F5" s="41" t="s">
        <v>136</v>
      </c>
      <c r="G5" s="41" t="s">
        <v>136</v>
      </c>
      <c r="H5" s="41" t="s">
        <v>136</v>
      </c>
      <c r="I5" s="41" t="s">
        <v>136</v>
      </c>
      <c r="J5" s="41" t="s">
        <v>136</v>
      </c>
      <c r="K5" s="41" t="s">
        <v>136</v>
      </c>
      <c r="L5" s="42" t="s">
        <v>136</v>
      </c>
      <c r="M5" s="41" t="s">
        <v>136</v>
      </c>
      <c r="N5" s="41" t="s">
        <v>136</v>
      </c>
      <c r="O5" s="41" t="s">
        <v>136</v>
      </c>
      <c r="P5" s="40" t="s">
        <v>136</v>
      </c>
      <c r="Q5" s="41" t="s">
        <v>136</v>
      </c>
      <c r="R5" s="41" t="s">
        <v>136</v>
      </c>
      <c r="S5" s="41" t="s">
        <v>137</v>
      </c>
      <c r="T5" s="41"/>
      <c r="U5" s="41"/>
      <c r="V5" s="41"/>
      <c r="W5" s="41"/>
      <c r="X5" s="42"/>
      <c r="Y5" s="41"/>
      <c r="Z5" s="41"/>
      <c r="AA5" s="41"/>
      <c r="AB5" s="40"/>
      <c r="AC5" s="41"/>
      <c r="AD5" s="41"/>
      <c r="AE5" s="41"/>
      <c r="AF5" s="41"/>
      <c r="AG5" s="41"/>
      <c r="AH5" s="41"/>
      <c r="AI5" s="41"/>
      <c r="AJ5" s="41" t="s">
        <v>543</v>
      </c>
      <c r="AK5" s="41" t="s">
        <v>136</v>
      </c>
      <c r="AL5" s="41" t="s">
        <v>136</v>
      </c>
      <c r="AM5" s="41" t="s">
        <v>136</v>
      </c>
      <c r="AN5" s="43"/>
      <c r="AP5" s="10"/>
      <c r="AQ5" s="10"/>
      <c r="AR5" s="10"/>
    </row>
    <row r="6" spans="2:44" ht="12" customHeight="1">
      <c r="B6" s="722"/>
      <c r="C6" s="717"/>
      <c r="D6" s="40"/>
      <c r="E6" s="41"/>
      <c r="F6" s="41" t="s">
        <v>544</v>
      </c>
      <c r="G6" s="41" t="s">
        <v>544</v>
      </c>
      <c r="H6" s="42" t="s">
        <v>544</v>
      </c>
      <c r="I6" s="42" t="s">
        <v>544</v>
      </c>
      <c r="J6" s="42" t="s">
        <v>544</v>
      </c>
      <c r="K6" s="42" t="s">
        <v>544</v>
      </c>
      <c r="L6" s="41"/>
      <c r="M6" s="41"/>
      <c r="N6" s="41" t="s">
        <v>545</v>
      </c>
      <c r="O6" s="41" t="s">
        <v>545</v>
      </c>
      <c r="P6" s="41"/>
      <c r="Q6" s="41"/>
      <c r="R6" s="41"/>
      <c r="S6" s="41"/>
      <c r="T6" s="42"/>
      <c r="U6" s="42"/>
      <c r="V6" s="42"/>
      <c r="W6" s="42"/>
      <c r="X6" s="41"/>
      <c r="Y6" s="41"/>
      <c r="Z6" s="41"/>
      <c r="AA6" s="41"/>
      <c r="AB6" s="41"/>
      <c r="AC6" s="41"/>
      <c r="AD6" s="41"/>
      <c r="AE6" s="41"/>
      <c r="AF6" s="41"/>
      <c r="AG6" s="41"/>
      <c r="AH6" s="41"/>
      <c r="AI6" s="41"/>
      <c r="AJ6" s="41" t="s">
        <v>546</v>
      </c>
      <c r="AK6" s="41"/>
      <c r="AL6" s="41"/>
      <c r="AM6" s="41"/>
      <c r="AN6" s="43"/>
      <c r="AP6" s="10"/>
      <c r="AQ6" s="10"/>
      <c r="AR6" s="10"/>
    </row>
    <row r="7" spans="2:44" ht="12" customHeight="1">
      <c r="B7" s="722"/>
      <c r="C7" s="717"/>
      <c r="D7" s="40"/>
      <c r="E7" s="41"/>
      <c r="F7" s="41" t="s">
        <v>547</v>
      </c>
      <c r="G7" s="41"/>
      <c r="H7" s="41"/>
      <c r="I7" s="41" t="s">
        <v>547</v>
      </c>
      <c r="J7" s="41"/>
      <c r="K7" s="41"/>
      <c r="L7" s="41"/>
      <c r="M7" s="41"/>
      <c r="N7" s="41"/>
      <c r="O7" s="41"/>
      <c r="P7" s="41"/>
      <c r="Q7" s="41"/>
      <c r="R7" s="41"/>
      <c r="S7" s="41"/>
      <c r="T7" s="41"/>
      <c r="U7" s="41"/>
      <c r="V7" s="41"/>
      <c r="W7" s="41"/>
      <c r="X7" s="41"/>
      <c r="Y7" s="41"/>
      <c r="Z7" s="41"/>
      <c r="AA7" s="41"/>
      <c r="AB7" s="40"/>
      <c r="AC7" s="41"/>
      <c r="AD7" s="41"/>
      <c r="AE7" s="41"/>
      <c r="AF7" s="41"/>
      <c r="AG7" s="41"/>
      <c r="AH7" s="41"/>
      <c r="AI7" s="41"/>
      <c r="AJ7" s="41"/>
      <c r="AK7" s="41"/>
      <c r="AL7" s="41"/>
      <c r="AM7" s="41"/>
      <c r="AN7" s="43"/>
      <c r="AP7" s="10"/>
      <c r="AQ7" s="10"/>
      <c r="AR7" s="10"/>
    </row>
    <row r="8" spans="2:44" ht="12" customHeight="1">
      <c r="B8" s="723"/>
      <c r="C8" s="718"/>
      <c r="D8" s="44"/>
      <c r="E8" s="45"/>
      <c r="F8" s="45"/>
      <c r="G8" s="45"/>
      <c r="H8" s="45"/>
      <c r="I8" s="45"/>
      <c r="J8" s="45"/>
      <c r="K8" s="45"/>
      <c r="L8" s="45"/>
      <c r="M8" s="45"/>
      <c r="N8" s="45"/>
      <c r="O8" s="45"/>
      <c r="P8" s="44"/>
      <c r="Q8" s="45"/>
      <c r="R8" s="45"/>
      <c r="S8" s="45"/>
      <c r="T8" s="45"/>
      <c r="U8" s="45"/>
      <c r="V8" s="45"/>
      <c r="W8" s="45"/>
      <c r="X8" s="45"/>
      <c r="Y8" s="45"/>
      <c r="Z8" s="45"/>
      <c r="AA8" s="45"/>
      <c r="AB8" s="44"/>
      <c r="AC8" s="45"/>
      <c r="AD8" s="45"/>
      <c r="AE8" s="45"/>
      <c r="AF8" s="45"/>
      <c r="AG8" s="45"/>
      <c r="AH8" s="45"/>
      <c r="AI8" s="45"/>
      <c r="AJ8" s="45"/>
      <c r="AK8" s="45"/>
      <c r="AL8" s="45"/>
      <c r="AM8" s="45"/>
      <c r="AN8" s="43"/>
      <c r="AP8" s="10"/>
      <c r="AQ8" s="10"/>
      <c r="AR8" s="10"/>
    </row>
    <row r="9" spans="2:44" ht="15" customHeight="1">
      <c r="B9" s="724" t="str">
        <f>①技術体系!A6</f>
        <v>改良資材散布</v>
      </c>
      <c r="C9" s="725"/>
      <c r="D9" s="377">
        <f>SUMPRODUCT((③労働時間!$A$5:$A$353=作業体系表!$B9)*(③労働時間!$B$5:$B$353="1月上旬")*(③労働時間!$J$5:$J$353))</f>
        <v>0</v>
      </c>
      <c r="E9" s="377">
        <f>SUMPRODUCT((③労働時間!$A$5:$A$353=作業体系表!$B9)*(③労働時間!$B$5:$B$353="1月中旬")*(③労働時間!$J$5:$J$353))</f>
        <v>0</v>
      </c>
      <c r="F9" s="377">
        <f>SUMPRODUCT((③労働時間!$A$5:$A$353=作業体系表!$B9)*(③労働時間!$B$5:$B$353="1月下旬")*(③労働時間!$J$5:$J$353))</f>
        <v>0</v>
      </c>
      <c r="G9" s="377">
        <f>SUMPRODUCT((③労働時間!$A$5:$A$353=作業体系表!$B9)*(③労働時間!$B$5:$B$353="2月上旬")*(③労働時間!$J$5:$J$353))</f>
        <v>0</v>
      </c>
      <c r="H9" s="377">
        <f>SUMPRODUCT((③労働時間!$A$5:$A$353=作業体系表!$B9)*(③労働時間!$B$5:$B$353="2月中旬")*(③労働時間!$J$5:$J$353))</f>
        <v>0</v>
      </c>
      <c r="I9" s="377">
        <f>SUMPRODUCT((③労働時間!$A$5:$A$353=作業体系表!$B9)*(③労働時間!$B$5:$B$353="2月下旬")*(③労働時間!$J$5:$J$353))</f>
        <v>0</v>
      </c>
      <c r="J9" s="377">
        <f>SUMPRODUCT((③労働時間!$A$5:$A$353=作業体系表!$B9)*(③労働時間!$B$5:$B$353="3月上旬")*(③労働時間!$J$5:$J$353))</f>
        <v>0</v>
      </c>
      <c r="K9" s="377">
        <f>SUMPRODUCT((③労働時間!$A$5:$A$353=作業体系表!$B9)*(③労働時間!$B$5:$B$353="3月中旬")*(③労働時間!$J$5:$J$353))</f>
        <v>0</v>
      </c>
      <c r="L9" s="377">
        <f>SUMPRODUCT((③労働時間!$A$5:$A$353=作業体系表!$B9)*(③労働時間!$B$5:$B$353="3月下旬")*(③労働時間!$J$5:$J$353))</f>
        <v>0</v>
      </c>
      <c r="M9" s="377">
        <f>SUMPRODUCT((③労働時間!$A$5:$A$353=作業体系表!$B9)*(③労働時間!$B$5:$B$353="4月上旬")*(③労働時間!$J$5:$J$353))</f>
        <v>0</v>
      </c>
      <c r="N9" s="377">
        <f>SUMPRODUCT((③労働時間!$A$5:$A$353=作業体系表!$B9)*(③労働時間!$B$5:$B$353="4月中旬")*(③労働時間!$J$5:$J$353))</f>
        <v>0</v>
      </c>
      <c r="O9" s="377">
        <f>SUMPRODUCT((③労働時間!$A$5:$A$353=作業体系表!$B9)*(③労働時間!$B$5:$B$353="4月下旬")*(③労働時間!$J$5:$J$353))</f>
        <v>0</v>
      </c>
      <c r="P9" s="378">
        <f>SUMPRODUCT((③労働時間!$A$5:$A$353=作業体系表!$B9)*(③労働時間!$B$5:$B$353="5月上旬")*(③労働時間!$J$5:$J$353))</f>
        <v>0</v>
      </c>
      <c r="Q9" s="377">
        <f>SUMPRODUCT((③労働時間!$A$5:$A$353=作業体系表!$B9)*(③労働時間!$B$5:$B$353="5月中旬")*(③労働時間!$J$5:$J$353))</f>
        <v>0</v>
      </c>
      <c r="R9" s="377">
        <f>SUMPRODUCT((③労働時間!$A$5:$A$353=作業体系表!$B9)*(③労働時間!$B$5:$B$353="5月下旬")*(③労働時間!$J$5:$J$353))</f>
        <v>0</v>
      </c>
      <c r="S9" s="377">
        <f>SUMPRODUCT((③労働時間!$A$5:$A$353=作業体系表!$B9)*(③労働時間!$B$5:$B$353="6月上旬")*(③労働時間!$J$5:$J$353))</f>
        <v>0</v>
      </c>
      <c r="T9" s="377">
        <f>SUMPRODUCT((③労働時間!$A$5:$A$353=作業体系表!$B9)*(③労働時間!$B$5:$B$353="6月中旬")*(③労働時間!$J$5:$J$353))</f>
        <v>0</v>
      </c>
      <c r="U9" s="377">
        <f>SUMPRODUCT((③労働時間!$A$5:$A$353=作業体系表!$B9)*(③労働時間!$B$5:$B$353="6月下旬")*(③労働時間!$J$5:$J$353))</f>
        <v>0</v>
      </c>
      <c r="V9" s="377">
        <f>SUMPRODUCT((③労働時間!$A$5:$A$353=作業体系表!$B9)*(③労働時間!$B$5:$B$353="7月上旬")*(③労働時間!$J$5:$J$353))</f>
        <v>0</v>
      </c>
      <c r="W9" s="377">
        <f>SUMPRODUCT((③労働時間!$A$5:$A$353=作業体系表!$B9)*(③労働時間!$B$5:$B$353="7月中旬")*(③労働時間!$J$5:$J$353))</f>
        <v>0</v>
      </c>
      <c r="X9" s="377">
        <f>SUMPRODUCT((③労働時間!$A$5:$A$353=作業体系表!$B9)*(③労働時間!$B$5:$B$353="7月下旬")*(③労働時間!$J$5:$J$353))</f>
        <v>0</v>
      </c>
      <c r="Y9" s="377">
        <f>SUMPRODUCT((③労働時間!$A$5:$A$353=作業体系表!$B9)*(③労働時間!$B$5:$B$353="8月上旬")*(③労働時間!$J$5:$J$353))</f>
        <v>0</v>
      </c>
      <c r="Z9" s="377">
        <f>SUMPRODUCT((③労働時間!$A$5:$A$353=作業体系表!$B9)*(③労働時間!$B$5:$B$353="8月中旬")*(③労働時間!$J$5:$J$353))</f>
        <v>0</v>
      </c>
      <c r="AA9" s="377">
        <f>SUMPRODUCT((③労働時間!$A$5:$A$353=作業体系表!$B9)*(③労働時間!$B$5:$B$353="8月下旬")*(③労働時間!$J$5:$J$353))</f>
        <v>0</v>
      </c>
      <c r="AB9" s="378">
        <f>SUMPRODUCT((③労働時間!$A$5:$A$353=作業体系表!$B9)*(③労働時間!$B$5:$B$353="9月上旬")*(③労働時間!$J$5:$J$353))</f>
        <v>0</v>
      </c>
      <c r="AC9" s="377">
        <f>SUMPRODUCT((③労働時間!$A$5:$A$353=作業体系表!$B9)*(③労働時間!$B$5:$B$353="9月中旬")*(③労働時間!$J$5:$J$353))</f>
        <v>0</v>
      </c>
      <c r="AD9" s="377">
        <f>SUMPRODUCT((③労働時間!$A$5:$A$353=作業体系表!$B9)*(③労働時間!$B$5:$B$353="9月下旬")*(③労働時間!$J$5:$J$353))</f>
        <v>0</v>
      </c>
      <c r="AE9" s="377">
        <f>SUMPRODUCT((③労働時間!$A$5:$A$353=作業体系表!$B9)*(③労働時間!$B$5:$B$353="10月上旬")*(③労働時間!$J$5:$J$353))</f>
        <v>0</v>
      </c>
      <c r="AF9" s="377">
        <f>SUMPRODUCT((③労働時間!$A$5:$A$353=作業体系表!$B9)*(③労働時間!$B$5:$B$353="10月中旬")*(③労働時間!$J$5:$J$353))</f>
        <v>0</v>
      </c>
      <c r="AG9" s="377">
        <f>SUMPRODUCT((③労働時間!$A$5:$A$353=作業体系表!$B9)*(③労働時間!$B$5:$B$353="10月下旬")*(③労働時間!$J$5:$J$353))</f>
        <v>0.33670033670033672</v>
      </c>
      <c r="AH9" s="377">
        <f>SUMPRODUCT((③労働時間!$A$5:$A$353=作業体系表!$B9)*(③労働時間!$B$5:$B$353="11月上旬")*(③労働時間!$J$5:$J$353))</f>
        <v>0</v>
      </c>
      <c r="AI9" s="377">
        <f>SUMPRODUCT((③労働時間!$A$5:$A$353=作業体系表!$B9)*(③労働時間!$B$5:$B$353="11月中旬")*(③労働時間!$J$5:$J$353))</f>
        <v>0</v>
      </c>
      <c r="AJ9" s="377">
        <f>SUMPRODUCT((③労働時間!$A$5:$A$353=作業体系表!$B9)*(③労働時間!$B$5:$B$353="11月下旬")*(③労働時間!$J$5:$J$353))</f>
        <v>0</v>
      </c>
      <c r="AK9" s="377">
        <f>SUMPRODUCT((③労働時間!$A$5:$A$353=作業体系表!$B9)*(③労働時間!$B$5:$B$353="12月上旬")*(③労働時間!$J$5:$J$353))</f>
        <v>0</v>
      </c>
      <c r="AL9" s="377">
        <f>SUMPRODUCT((③労働時間!$A$5:$A$353=作業体系表!$B9)*(③労働時間!$B$5:$B$353="12月中旬")*(③労働時間!$J$5:$J$353))</f>
        <v>0</v>
      </c>
      <c r="AM9" s="379">
        <f>SUMPRODUCT((③労働時間!$A$5:$A$353=作業体系表!$B9)*(③労働時間!$B$5:$B$353="12月下旬")*(③労働時間!$J$5:$J$353))</f>
        <v>0</v>
      </c>
      <c r="AN9" s="380">
        <f>SUM(D9:AM9)</f>
        <v>0.33670033670033672</v>
      </c>
      <c r="AP9" s="10"/>
      <c r="AQ9" s="10"/>
      <c r="AR9" s="10"/>
    </row>
    <row r="10" spans="2:44" ht="15" customHeight="1">
      <c r="B10" s="705" t="str">
        <f>①技術体系!A7</f>
        <v>耕転</v>
      </c>
      <c r="C10" s="706"/>
      <c r="D10" s="381">
        <f>SUMPRODUCT((③労働時間!$A$5:$A$353=作業体系表!$B10)*(③労働時間!$B$5:$B$353="1月上旬")*(③労働時間!$J$5:$J$353))</f>
        <v>0</v>
      </c>
      <c r="E10" s="381">
        <f>SUMPRODUCT((③労働時間!$A$5:$A$353=作業体系表!$B10)*(③労働時間!$B$5:$B$353="1月中旬")*(③労働時間!$J$5:$J$353))</f>
        <v>0</v>
      </c>
      <c r="F10" s="381">
        <f>SUMPRODUCT((③労働時間!$A$5:$A$353=作業体系表!$B10)*(③労働時間!$B$5:$B$353="1月下旬")*(③労働時間!$J$5:$J$353))</f>
        <v>0</v>
      </c>
      <c r="G10" s="381">
        <f>SUMPRODUCT((③労働時間!$A$5:$A$353=作業体系表!$B10)*(③労働時間!$B$5:$B$353="2月上旬")*(③労働時間!$J$5:$J$353))</f>
        <v>0</v>
      </c>
      <c r="H10" s="381">
        <f>SUMPRODUCT((③労働時間!$A$5:$A$353=作業体系表!$B10)*(③労働時間!$B$5:$B$353="2月中旬")*(③労働時間!$J$5:$J$353))</f>
        <v>0</v>
      </c>
      <c r="I10" s="381">
        <f>SUMPRODUCT((③労働時間!$A$5:$A$353=作業体系表!$B10)*(③労働時間!$B$5:$B$353="2月下旬")*(③労働時間!$J$5:$J$353))</f>
        <v>0</v>
      </c>
      <c r="J10" s="381">
        <f>SUMPRODUCT((③労働時間!$A$5:$A$353=作業体系表!$B10)*(③労働時間!$B$5:$B$353="3月上旬")*(③労働時間!$J$5:$J$353))</f>
        <v>0</v>
      </c>
      <c r="K10" s="381">
        <f>SUMPRODUCT((③労働時間!$A$5:$A$353=作業体系表!$B10)*(③労働時間!$B$5:$B$353="3月中旬")*(③労働時間!$J$5:$J$353))</f>
        <v>0</v>
      </c>
      <c r="L10" s="381">
        <f>SUMPRODUCT((③労働時間!$A$5:$A$353=作業体系表!$B10)*(③労働時間!$B$5:$B$353="3月下旬")*(③労働時間!$J$5:$J$353))</f>
        <v>0</v>
      </c>
      <c r="M10" s="381">
        <f>SUMPRODUCT((③労働時間!$A$5:$A$353=作業体系表!$B10)*(③労働時間!$B$5:$B$353="4月上旬")*(③労働時間!$J$5:$J$353))</f>
        <v>0</v>
      </c>
      <c r="N10" s="381">
        <f>SUMPRODUCT((③労働時間!$A$5:$A$353=作業体系表!$B10)*(③労働時間!$B$5:$B$353="4月中旬")*(③労働時間!$J$5:$J$353))</f>
        <v>0</v>
      </c>
      <c r="O10" s="381">
        <f>SUMPRODUCT((③労働時間!$A$5:$A$353=作業体系表!$B10)*(③労働時間!$B$5:$B$353="4月下旬")*(③労働時間!$J$5:$J$353))</f>
        <v>0</v>
      </c>
      <c r="P10" s="382">
        <f>SUMPRODUCT((③労働時間!$A$5:$A$353=作業体系表!$B10)*(③労働時間!$B$5:$B$353="5月上旬")*(③労働時間!$J$5:$J$353))</f>
        <v>0</v>
      </c>
      <c r="Q10" s="381">
        <f>SUMPRODUCT((③労働時間!$A$5:$A$353=作業体系表!$B10)*(③労働時間!$B$5:$B$353="5月中旬")*(③労働時間!$J$5:$J$353))</f>
        <v>0</v>
      </c>
      <c r="R10" s="381">
        <f>SUMPRODUCT((③労働時間!$A$5:$A$353=作業体系表!$B10)*(③労働時間!$B$5:$B$353="5月下旬")*(③労働時間!$J$5:$J$353))</f>
        <v>0</v>
      </c>
      <c r="S10" s="381">
        <f>SUMPRODUCT((③労働時間!$A$5:$A$353=作業体系表!$B10)*(③労働時間!$B$5:$B$353="6月上旬")*(③労働時間!$J$5:$J$353))</f>
        <v>0</v>
      </c>
      <c r="T10" s="381">
        <f>SUMPRODUCT((③労働時間!$A$5:$A$353=作業体系表!$B10)*(③労働時間!$B$5:$B$353="6月中旬")*(③労働時間!$J$5:$J$353))</f>
        <v>0</v>
      </c>
      <c r="U10" s="381">
        <f>SUMPRODUCT((③労働時間!$A$5:$A$353=作業体系表!$B10)*(③労働時間!$B$5:$B$353="6月下旬")*(③労働時間!$J$5:$J$353))</f>
        <v>0</v>
      </c>
      <c r="V10" s="381">
        <f>SUMPRODUCT((③労働時間!$A$5:$A$353=作業体系表!$B10)*(③労働時間!$B$5:$B$353="7月上旬")*(③労働時間!$J$5:$J$353))</f>
        <v>0</v>
      </c>
      <c r="W10" s="381">
        <f>SUMPRODUCT((③労働時間!$A$5:$A$353=作業体系表!$B10)*(③労働時間!$B$5:$B$353="7月中旬")*(③労働時間!$J$5:$J$353))</f>
        <v>0</v>
      </c>
      <c r="X10" s="381">
        <f>SUMPRODUCT((③労働時間!$A$5:$A$353=作業体系表!$B10)*(③労働時間!$B$5:$B$353="7月下旬")*(③労働時間!$J$5:$J$353))</f>
        <v>0</v>
      </c>
      <c r="Y10" s="381">
        <f>SUMPRODUCT((③労働時間!$A$5:$A$353=作業体系表!$B10)*(③労働時間!$B$5:$B$353="8月上旬")*(③労働時間!$J$5:$J$353))</f>
        <v>0</v>
      </c>
      <c r="Z10" s="381">
        <f>SUMPRODUCT((③労働時間!$A$5:$A$353=作業体系表!$B10)*(③労働時間!$B$5:$B$353="8月中旬")*(③労働時間!$J$5:$J$353))</f>
        <v>0</v>
      </c>
      <c r="AA10" s="381">
        <f>SUMPRODUCT((③労働時間!$A$5:$A$353=作業体系表!$B10)*(③労働時間!$B$5:$B$353="8月下旬")*(③労働時間!$J$5:$J$353))</f>
        <v>0</v>
      </c>
      <c r="AB10" s="382">
        <f>SUMPRODUCT((③労働時間!$A$5:$A$353=作業体系表!$B10)*(③労働時間!$B$5:$B$353="9月上旬")*(③労働時間!$J$5:$J$353))</f>
        <v>0</v>
      </c>
      <c r="AC10" s="381">
        <f>SUMPRODUCT((③労働時間!$A$5:$A$353=作業体系表!$B10)*(③労働時間!$B$5:$B$353="9月中旬")*(③労働時間!$J$5:$J$353))</f>
        <v>0</v>
      </c>
      <c r="AD10" s="381">
        <f>SUMPRODUCT((③労働時間!$A$5:$A$353=作業体系表!$B10)*(③労働時間!$B$5:$B$353="9月下旬")*(③労働時間!$J$5:$J$353))</f>
        <v>0</v>
      </c>
      <c r="AE10" s="381">
        <f>SUMPRODUCT((③労働時間!$A$5:$A$353=作業体系表!$B10)*(③労働時間!$B$5:$B$353="10月上旬")*(③労働時間!$J$5:$J$353))</f>
        <v>0</v>
      </c>
      <c r="AF10" s="381">
        <f>SUMPRODUCT((③労働時間!$A$5:$A$353=作業体系表!$B10)*(③労働時間!$B$5:$B$353="10月中旬")*(③労働時間!$J$5:$J$353))</f>
        <v>0</v>
      </c>
      <c r="AG10" s="381">
        <f>SUMPRODUCT((③労働時間!$A$5:$A$353=作業体系表!$B10)*(③労働時間!$B$5:$B$353="10月下旬")*(③労働時間!$J$5:$J$353))</f>
        <v>0.44642857142857145</v>
      </c>
      <c r="AH10" s="381">
        <f>SUMPRODUCT((③労働時間!$A$5:$A$353=作業体系表!$B10)*(③労働時間!$B$5:$B$353="11月上旬")*(③労働時間!$J$5:$J$353))</f>
        <v>0</v>
      </c>
      <c r="AI10" s="381">
        <f>SUMPRODUCT((③労働時間!$A$5:$A$353=作業体系表!$B10)*(③労働時間!$B$5:$B$353="11月中旬")*(③労働時間!$J$5:$J$353))</f>
        <v>0</v>
      </c>
      <c r="AJ10" s="381">
        <f>SUMPRODUCT((③労働時間!$A$5:$A$353=作業体系表!$B10)*(③労働時間!$B$5:$B$353="11月下旬")*(③労働時間!$J$5:$J$353))</f>
        <v>0</v>
      </c>
      <c r="AK10" s="381">
        <f>SUMPRODUCT((③労働時間!$A$5:$A$353=作業体系表!$B10)*(③労働時間!$B$5:$B$353="12月上旬")*(③労働時間!$J$5:$J$353))</f>
        <v>0</v>
      </c>
      <c r="AL10" s="381">
        <f>SUMPRODUCT((③労働時間!$A$5:$A$353=作業体系表!$B10)*(③労働時間!$B$5:$B$353="12月中旬")*(③労働時間!$J$5:$J$353))</f>
        <v>0</v>
      </c>
      <c r="AM10" s="383">
        <f>SUMPRODUCT((③労働時間!$A$5:$A$353=作業体系表!$B10)*(③労働時間!$B$5:$B$353="12月下旬")*(③労働時間!$J$5:$J$353))</f>
        <v>0</v>
      </c>
      <c r="AN10" s="384">
        <f t="shared" ref="AN10:AN28" si="0">SUM(D10:AM10)</f>
        <v>0.44642857142857145</v>
      </c>
      <c r="AP10" s="10"/>
      <c r="AQ10" s="10"/>
      <c r="AR10" s="10"/>
    </row>
    <row r="11" spans="2:44" ht="15" customHeight="1">
      <c r="B11" s="705" t="str">
        <f>①技術体系!A8</f>
        <v>畦立・施肥・播種</v>
      </c>
      <c r="C11" s="706"/>
      <c r="D11" s="381">
        <f>SUMPRODUCT((③労働時間!$A$5:$A$353=作業体系表!$B11)*(③労働時間!$B$5:$B$353="1月上旬")*(③労働時間!$J$5:$J$353))</f>
        <v>0</v>
      </c>
      <c r="E11" s="381">
        <f>SUMPRODUCT((③労働時間!$A$5:$A$353=作業体系表!$B11)*(③労働時間!$B$5:$B$353="1月中旬")*(③労働時間!$J$5:$J$353))</f>
        <v>0</v>
      </c>
      <c r="F11" s="381">
        <f>SUMPRODUCT((③労働時間!$A$5:$A$353=作業体系表!$B11)*(③労働時間!$B$5:$B$353="1月下旬")*(③労働時間!$J$5:$J$353))</f>
        <v>0</v>
      </c>
      <c r="G11" s="381">
        <f>SUMPRODUCT((③労働時間!$A$5:$A$353=作業体系表!$B11)*(③労働時間!$B$5:$B$353="2月上旬")*(③労働時間!$J$5:$J$353))</f>
        <v>0</v>
      </c>
      <c r="H11" s="381">
        <f>SUMPRODUCT((③労働時間!$A$5:$A$353=作業体系表!$B11)*(③労働時間!$B$5:$B$353="2月中旬")*(③労働時間!$J$5:$J$353))</f>
        <v>0</v>
      </c>
      <c r="I11" s="381">
        <f>SUMPRODUCT((③労働時間!$A$5:$A$353=作業体系表!$B11)*(③労働時間!$B$5:$B$353="2月下旬")*(③労働時間!$J$5:$J$353))</f>
        <v>0</v>
      </c>
      <c r="J11" s="381">
        <f>SUMPRODUCT((③労働時間!$A$5:$A$353=作業体系表!$B11)*(③労働時間!$B$5:$B$353="3月上旬")*(③労働時間!$J$5:$J$353))</f>
        <v>0</v>
      </c>
      <c r="K11" s="381">
        <f>SUMPRODUCT((③労働時間!$A$5:$A$353=作業体系表!$B11)*(③労働時間!$B$5:$B$353="3月中旬")*(③労働時間!$J$5:$J$353))</f>
        <v>0</v>
      </c>
      <c r="L11" s="381">
        <f>SUMPRODUCT((③労働時間!$A$5:$A$353=作業体系表!$B11)*(③労働時間!$B$5:$B$353="3月下旬")*(③労働時間!$J$5:$J$353))</f>
        <v>0</v>
      </c>
      <c r="M11" s="381">
        <f>SUMPRODUCT((③労働時間!$A$5:$A$353=作業体系表!$B11)*(③労働時間!$B$5:$B$353="4月上旬")*(③労働時間!$J$5:$J$353))</f>
        <v>0</v>
      </c>
      <c r="N11" s="381">
        <f>SUMPRODUCT((③労働時間!$A$5:$A$353=作業体系表!$B11)*(③労働時間!$B$5:$B$353="4月中旬")*(③労働時間!$J$5:$J$353))</f>
        <v>0</v>
      </c>
      <c r="O11" s="381">
        <f>SUMPRODUCT((③労働時間!$A$5:$A$353=作業体系表!$B11)*(③労働時間!$B$5:$B$353="4月下旬")*(③労働時間!$J$5:$J$353))</f>
        <v>0</v>
      </c>
      <c r="P11" s="382">
        <f>SUMPRODUCT((③労働時間!$A$5:$A$353=作業体系表!$B11)*(③労働時間!$B$5:$B$353="5月上旬")*(③労働時間!$J$5:$J$353))</f>
        <v>0</v>
      </c>
      <c r="Q11" s="381">
        <f>SUMPRODUCT((③労働時間!$A$5:$A$353=作業体系表!$B11)*(③労働時間!$B$5:$B$353="5月中旬")*(③労働時間!$J$5:$J$353))</f>
        <v>0</v>
      </c>
      <c r="R11" s="381">
        <f>SUMPRODUCT((③労働時間!$A$5:$A$353=作業体系表!$B11)*(③労働時間!$B$5:$B$353="5月下旬")*(③労働時間!$J$5:$J$353))</f>
        <v>0</v>
      </c>
      <c r="S11" s="381">
        <f>SUMPRODUCT((③労働時間!$A$5:$A$353=作業体系表!$B11)*(③労働時間!$B$5:$B$353="6月上旬")*(③労働時間!$J$5:$J$353))</f>
        <v>0</v>
      </c>
      <c r="T11" s="381">
        <f>SUMPRODUCT((③労働時間!$A$5:$A$353=作業体系表!$B11)*(③労働時間!$B$5:$B$353="6月中旬")*(③労働時間!$J$5:$J$353))</f>
        <v>0</v>
      </c>
      <c r="U11" s="381">
        <f>SUMPRODUCT((③労働時間!$A$5:$A$353=作業体系表!$B11)*(③労働時間!$B$5:$B$353="6月下旬")*(③労働時間!$J$5:$J$353))</f>
        <v>0</v>
      </c>
      <c r="V11" s="381">
        <f>SUMPRODUCT((③労働時間!$A$5:$A$353=作業体系表!$B11)*(③労働時間!$B$5:$B$353="7月上旬")*(③労働時間!$J$5:$J$353))</f>
        <v>0</v>
      </c>
      <c r="W11" s="381">
        <f>SUMPRODUCT((③労働時間!$A$5:$A$353=作業体系表!$B11)*(③労働時間!$B$5:$B$353="7月中旬")*(③労働時間!$J$5:$J$353))</f>
        <v>0</v>
      </c>
      <c r="X11" s="381">
        <f>SUMPRODUCT((③労働時間!$A$5:$A$353=作業体系表!$B11)*(③労働時間!$B$5:$B$353="7月下旬")*(③労働時間!$J$5:$J$353))</f>
        <v>0</v>
      </c>
      <c r="Y11" s="381">
        <f>SUMPRODUCT((③労働時間!$A$5:$A$353=作業体系表!$B11)*(③労働時間!$B$5:$B$353="8月上旬")*(③労働時間!$J$5:$J$353))</f>
        <v>0</v>
      </c>
      <c r="Z11" s="381">
        <f>SUMPRODUCT((③労働時間!$A$5:$A$353=作業体系表!$B11)*(③労働時間!$B$5:$B$353="8月中旬")*(③労働時間!$J$5:$J$353))</f>
        <v>0</v>
      </c>
      <c r="AA11" s="381">
        <f>SUMPRODUCT((③労働時間!$A$5:$A$353=作業体系表!$B11)*(③労働時間!$B$5:$B$353="8月下旬")*(③労働時間!$J$5:$J$353))</f>
        <v>0</v>
      </c>
      <c r="AB11" s="382">
        <f>SUMPRODUCT((③労働時間!$A$5:$A$353=作業体系表!$B11)*(③労働時間!$B$5:$B$353="9月上旬")*(③労働時間!$J$5:$J$353))</f>
        <v>0</v>
      </c>
      <c r="AC11" s="381">
        <f>SUMPRODUCT((③労働時間!$A$5:$A$353=作業体系表!$B11)*(③労働時間!$B$5:$B$353="9月中旬")*(③労働時間!$J$5:$J$353))</f>
        <v>0</v>
      </c>
      <c r="AD11" s="381">
        <f>SUMPRODUCT((③労働時間!$A$5:$A$353=作業体系表!$B11)*(③労働時間!$B$5:$B$353="9月下旬")*(③労働時間!$J$5:$J$353))</f>
        <v>0</v>
      </c>
      <c r="AE11" s="381">
        <f>SUMPRODUCT((③労働時間!$A$5:$A$353=作業体系表!$B11)*(③労働時間!$B$5:$B$353="10月上旬")*(③労働時間!$J$5:$J$353))</f>
        <v>0</v>
      </c>
      <c r="AF11" s="381">
        <f>SUMPRODUCT((③労働時間!$A$5:$A$353=作業体系表!$B11)*(③労働時間!$B$5:$B$353="10月中旬")*(③労働時間!$J$5:$J$353))</f>
        <v>0</v>
      </c>
      <c r="AG11" s="381">
        <f>SUMPRODUCT((③労働時間!$A$5:$A$353=作業体系表!$B11)*(③労働時間!$B$5:$B$353="10月下旬")*(③労働時間!$J$5:$J$353))</f>
        <v>0</v>
      </c>
      <c r="AH11" s="381">
        <f>SUMPRODUCT((③労働時間!$A$5:$A$353=作業体系表!$B11)*(③労働時間!$B$5:$B$353="11月上旬")*(③労働時間!$J$5:$J$353))</f>
        <v>0</v>
      </c>
      <c r="AI11" s="381">
        <f>SUMPRODUCT((③労働時間!$A$5:$A$353=作業体系表!$B11)*(③労働時間!$B$5:$B$353="11月中旬")*(③労働時間!$J$5:$J$353))</f>
        <v>0</v>
      </c>
      <c r="AJ11" s="381">
        <f>SUMPRODUCT((③労働時間!$A$5:$A$353=作業体系表!$B11)*(③労働時間!$B$5:$B$353="11月下旬")*(③労働時間!$J$5:$J$353))</f>
        <v>0.99206349206349209</v>
      </c>
      <c r="AK11" s="381">
        <f>SUMPRODUCT((③労働時間!$A$5:$A$353=作業体系表!$B11)*(③労働時間!$B$5:$B$353="12月上旬")*(③労働時間!$J$5:$J$353))</f>
        <v>0</v>
      </c>
      <c r="AL11" s="381">
        <f>SUMPRODUCT((③労働時間!$A$5:$A$353=作業体系表!$B11)*(③労働時間!$B$5:$B$353="12月中旬")*(③労働時間!$J$5:$J$353))</f>
        <v>0</v>
      </c>
      <c r="AM11" s="383">
        <f>SUMPRODUCT((③労働時間!$A$5:$A$353=作業体系表!$B11)*(③労働時間!$B$5:$B$353="12月下旬")*(③労働時間!$J$5:$J$353))</f>
        <v>0</v>
      </c>
      <c r="AN11" s="384">
        <f t="shared" si="0"/>
        <v>0.99206349206349209</v>
      </c>
      <c r="AP11" s="10"/>
      <c r="AQ11" s="10"/>
      <c r="AR11" s="10"/>
    </row>
    <row r="12" spans="2:44" ht="15" customHeight="1">
      <c r="B12" s="705" t="str">
        <f>①技術体系!A9</f>
        <v>除草剤散布</v>
      </c>
      <c r="C12" s="706"/>
      <c r="D12" s="381">
        <f>SUMPRODUCT((③労働時間!$A$5:$A$353=作業体系表!$B12)*(③労働時間!$B$5:$B$353="1月上旬")*(③労働時間!$J$5:$J$353))</f>
        <v>0</v>
      </c>
      <c r="E12" s="381">
        <f>SUMPRODUCT((③労働時間!$A$5:$A$353=作業体系表!$B12)*(③労働時間!$B$5:$B$353="1月中旬")*(③労働時間!$J$5:$J$353))</f>
        <v>0</v>
      </c>
      <c r="F12" s="381">
        <f>SUMPRODUCT((③労働時間!$A$5:$A$353=作業体系表!$B12)*(③労働時間!$B$5:$B$353="1月下旬")*(③労働時間!$J$5:$J$353))</f>
        <v>0</v>
      </c>
      <c r="G12" s="381">
        <f>SUMPRODUCT((③労働時間!$A$5:$A$353=作業体系表!$B12)*(③労働時間!$B$5:$B$353="2月上旬")*(③労働時間!$J$5:$J$353))</f>
        <v>0</v>
      </c>
      <c r="H12" s="381">
        <f>SUMPRODUCT((③労働時間!$A$5:$A$353=作業体系表!$B12)*(③労働時間!$B$5:$B$353="2月中旬")*(③労働時間!$J$5:$J$353))</f>
        <v>0</v>
      </c>
      <c r="I12" s="381">
        <f>SUMPRODUCT((③労働時間!$A$5:$A$353=作業体系表!$B12)*(③労働時間!$B$5:$B$353="2月下旬")*(③労働時間!$J$5:$J$353))</f>
        <v>0</v>
      </c>
      <c r="J12" s="381">
        <f>SUMPRODUCT((③労働時間!$A$5:$A$353=作業体系表!$B12)*(③労働時間!$B$5:$B$353="3月上旬")*(③労働時間!$J$5:$J$353))</f>
        <v>0</v>
      </c>
      <c r="K12" s="381">
        <f>SUMPRODUCT((③労働時間!$A$5:$A$353=作業体系表!$B12)*(③労働時間!$B$5:$B$353="3月中旬")*(③労働時間!$J$5:$J$353))</f>
        <v>0</v>
      </c>
      <c r="L12" s="381">
        <f>SUMPRODUCT((③労働時間!$A$5:$A$353=作業体系表!$B12)*(③労働時間!$B$5:$B$353="3月下旬")*(③労働時間!$J$5:$J$353))</f>
        <v>0</v>
      </c>
      <c r="M12" s="381">
        <f>SUMPRODUCT((③労働時間!$A$5:$A$353=作業体系表!$B12)*(③労働時間!$B$5:$B$353="4月上旬")*(③労働時間!$J$5:$J$353))</f>
        <v>0</v>
      </c>
      <c r="N12" s="381">
        <f>SUMPRODUCT((③労働時間!$A$5:$A$353=作業体系表!$B12)*(③労働時間!$B$5:$B$353="4月中旬")*(③労働時間!$J$5:$J$353))</f>
        <v>0</v>
      </c>
      <c r="O12" s="381">
        <f>SUMPRODUCT((③労働時間!$A$5:$A$353=作業体系表!$B12)*(③労働時間!$B$5:$B$353="4月下旬")*(③労働時間!$J$5:$J$353))</f>
        <v>0</v>
      </c>
      <c r="P12" s="382">
        <f>SUMPRODUCT((③労働時間!$A$5:$A$353=作業体系表!$B12)*(③労働時間!$B$5:$B$353="5月上旬")*(③労働時間!$J$5:$J$353))</f>
        <v>0</v>
      </c>
      <c r="Q12" s="381">
        <f>SUMPRODUCT((③労働時間!$A$5:$A$353=作業体系表!$B12)*(③労働時間!$B$5:$B$353="5月中旬")*(③労働時間!$J$5:$J$353))</f>
        <v>0</v>
      </c>
      <c r="R12" s="381">
        <f>SUMPRODUCT((③労働時間!$A$5:$A$353=作業体系表!$B12)*(③労働時間!$B$5:$B$353="5月下旬")*(③労働時間!$J$5:$J$353))</f>
        <v>0</v>
      </c>
      <c r="S12" s="381">
        <f>SUMPRODUCT((③労働時間!$A$5:$A$353=作業体系表!$B12)*(③労働時間!$B$5:$B$353="6月上旬")*(③労働時間!$J$5:$J$353))</f>
        <v>0</v>
      </c>
      <c r="T12" s="381">
        <f>SUMPRODUCT((③労働時間!$A$5:$A$353=作業体系表!$B12)*(③労働時間!$B$5:$B$353="6月中旬")*(③労働時間!$J$5:$J$353))</f>
        <v>0</v>
      </c>
      <c r="U12" s="381">
        <f>SUMPRODUCT((③労働時間!$A$5:$A$353=作業体系表!$B12)*(③労働時間!$B$5:$B$353="6月下旬")*(③労働時間!$J$5:$J$353))</f>
        <v>0</v>
      </c>
      <c r="V12" s="381">
        <f>SUMPRODUCT((③労働時間!$A$5:$A$353=作業体系表!$B12)*(③労働時間!$B$5:$B$353="7月上旬")*(③労働時間!$J$5:$J$353))</f>
        <v>0</v>
      </c>
      <c r="W12" s="381">
        <f>SUMPRODUCT((③労働時間!$A$5:$A$353=作業体系表!$B12)*(③労働時間!$B$5:$B$353="7月中旬")*(③労働時間!$J$5:$J$353))</f>
        <v>0</v>
      </c>
      <c r="X12" s="381">
        <f>SUMPRODUCT((③労働時間!$A$5:$A$353=作業体系表!$B12)*(③労働時間!$B$5:$B$353="7月下旬")*(③労働時間!$J$5:$J$353))</f>
        <v>0</v>
      </c>
      <c r="Y12" s="381">
        <f>SUMPRODUCT((③労働時間!$A$5:$A$353=作業体系表!$B12)*(③労働時間!$B$5:$B$353="8月上旬")*(③労働時間!$J$5:$J$353))</f>
        <v>0</v>
      </c>
      <c r="Z12" s="381">
        <f>SUMPRODUCT((③労働時間!$A$5:$A$353=作業体系表!$B12)*(③労働時間!$B$5:$B$353="8月中旬")*(③労働時間!$J$5:$J$353))</f>
        <v>0</v>
      </c>
      <c r="AA12" s="381">
        <f>SUMPRODUCT((③労働時間!$A$5:$A$353=作業体系表!$B12)*(③労働時間!$B$5:$B$353="8月下旬")*(③労働時間!$J$5:$J$353))</f>
        <v>0</v>
      </c>
      <c r="AB12" s="382">
        <f>SUMPRODUCT((③労働時間!$A$5:$A$353=作業体系表!$B12)*(③労働時間!$B$5:$B$353="9月上旬")*(③労働時間!$J$5:$J$353))</f>
        <v>0</v>
      </c>
      <c r="AC12" s="381">
        <f>SUMPRODUCT((③労働時間!$A$5:$A$353=作業体系表!$B12)*(③労働時間!$B$5:$B$353="9月中旬")*(③労働時間!$J$5:$J$353))</f>
        <v>0</v>
      </c>
      <c r="AD12" s="381">
        <f>SUMPRODUCT((③労働時間!$A$5:$A$353=作業体系表!$B12)*(③労働時間!$B$5:$B$353="9月下旬")*(③労働時間!$J$5:$J$353))</f>
        <v>0</v>
      </c>
      <c r="AE12" s="381">
        <f>SUMPRODUCT((③労働時間!$A$5:$A$353=作業体系表!$B12)*(③労働時間!$B$5:$B$353="10月上旬")*(③労働時間!$J$5:$J$353))</f>
        <v>0</v>
      </c>
      <c r="AF12" s="381">
        <f>SUMPRODUCT((③労働時間!$A$5:$A$353=作業体系表!$B12)*(③労働時間!$B$5:$B$353="10月中旬")*(③労働時間!$J$5:$J$353))</f>
        <v>0</v>
      </c>
      <c r="AG12" s="381">
        <f>SUMPRODUCT((③労働時間!$A$5:$A$353=作業体系表!$B12)*(③労働時間!$B$5:$B$353="10月下旬")*(③労働時間!$J$5:$J$353))</f>
        <v>0</v>
      </c>
      <c r="AH12" s="381">
        <f>SUMPRODUCT((③労働時間!$A$5:$A$353=作業体系表!$B12)*(③労働時間!$B$5:$B$353="11月上旬")*(③労働時間!$J$5:$J$353))</f>
        <v>0</v>
      </c>
      <c r="AI12" s="381">
        <f>SUMPRODUCT((③労働時間!$A$5:$A$353=作業体系表!$B12)*(③労働時間!$B$5:$B$353="11月中旬")*(③労働時間!$J$5:$J$353))</f>
        <v>0</v>
      </c>
      <c r="AJ12" s="381">
        <f>SUMPRODUCT((③労働時間!$A$5:$A$353=作業体系表!$B12)*(③労働時間!$B$5:$B$353="11月下旬")*(③労働時間!$J$5:$J$353))</f>
        <v>0.20525451559934321</v>
      </c>
      <c r="AK12" s="381">
        <f>SUMPRODUCT((③労働時間!$A$5:$A$353=作業体系表!$B12)*(③労働時間!$B$5:$B$353="12月上旬")*(③労働時間!$J$5:$J$353))</f>
        <v>0</v>
      </c>
      <c r="AL12" s="381">
        <f>SUMPRODUCT((③労働時間!$A$5:$A$353=作業体系表!$B12)*(③労働時間!$B$5:$B$353="12月中旬")*(③労働時間!$J$5:$J$353))</f>
        <v>0</v>
      </c>
      <c r="AM12" s="383">
        <f>SUMPRODUCT((③労働時間!$A$5:$A$353=作業体系表!$B12)*(③労働時間!$B$5:$B$353="12月下旬")*(③労働時間!$J$5:$J$353))</f>
        <v>0</v>
      </c>
      <c r="AN12" s="384">
        <f t="shared" si="0"/>
        <v>0.20525451559934321</v>
      </c>
    </row>
    <row r="13" spans="2:44" ht="15" customHeight="1">
      <c r="B13" s="705" t="str">
        <f>①技術体系!A10</f>
        <v>病害虫防除</v>
      </c>
      <c r="C13" s="706"/>
      <c r="D13" s="381">
        <f>SUMPRODUCT((③労働時間!$A$5:$A$353=作業体系表!$B13)*(③労働時間!$B$5:$B$353="1月上旬")*(③労働時間!$J$5:$J$353))</f>
        <v>0</v>
      </c>
      <c r="E13" s="381">
        <f>SUMPRODUCT((③労働時間!$A$5:$A$353=作業体系表!$B13)*(③労働時間!$B$5:$B$353="1月中旬")*(③労働時間!$J$5:$J$353))</f>
        <v>0</v>
      </c>
      <c r="F13" s="381">
        <f>SUMPRODUCT((③労働時間!$A$5:$A$353=作業体系表!$B13)*(③労働時間!$B$5:$B$353="1月下旬")*(③労働時間!$J$5:$J$353))</f>
        <v>0</v>
      </c>
      <c r="G13" s="381">
        <f>SUMPRODUCT((③労働時間!$A$5:$A$353=作業体系表!$B13)*(③労働時間!$B$5:$B$353="2月上旬")*(③労働時間!$J$5:$J$353))</f>
        <v>0</v>
      </c>
      <c r="H13" s="381">
        <f>SUMPRODUCT((③労働時間!$A$5:$A$353=作業体系表!$B13)*(③労働時間!$B$5:$B$353="2月中旬")*(③労働時間!$J$5:$J$353))</f>
        <v>0</v>
      </c>
      <c r="I13" s="381">
        <f>SUMPRODUCT((③労働時間!$A$5:$A$353=作業体系表!$B13)*(③労働時間!$B$5:$B$353="2月下旬")*(③労働時間!$J$5:$J$353))</f>
        <v>0</v>
      </c>
      <c r="J13" s="381">
        <f>SUMPRODUCT((③労働時間!$A$5:$A$353=作業体系表!$B13)*(③労働時間!$B$5:$B$353="3月上旬")*(③労働時間!$J$5:$J$353))</f>
        <v>0</v>
      </c>
      <c r="K13" s="381">
        <f>SUMPRODUCT((③労働時間!$A$5:$A$353=作業体系表!$B13)*(③労働時間!$B$5:$B$353="3月中旬")*(③労働時間!$J$5:$J$353))</f>
        <v>0</v>
      </c>
      <c r="L13" s="381">
        <f>SUMPRODUCT((③労働時間!$A$5:$A$353=作業体系表!$B13)*(③労働時間!$B$5:$B$353="3月下旬")*(③労働時間!$J$5:$J$353))</f>
        <v>0</v>
      </c>
      <c r="M13" s="381">
        <f>SUMPRODUCT((③労働時間!$A$5:$A$353=作業体系表!$B13)*(③労働時間!$B$5:$B$353="4月上旬")*(③労働時間!$J$5:$J$353))</f>
        <v>0</v>
      </c>
      <c r="N13" s="381">
        <f>SUMPRODUCT((③労働時間!$A$5:$A$353=作業体系表!$B13)*(③労働時間!$B$5:$B$353="4月中旬")*(③労働時間!$J$5:$J$353))</f>
        <v>0.20525451559934321</v>
      </c>
      <c r="O13" s="381">
        <f>SUMPRODUCT((③労働時間!$A$5:$A$353=作業体系表!$B13)*(③労働時間!$B$5:$B$353="4月下旬")*(③労働時間!$J$5:$J$353))</f>
        <v>0.20525451559934321</v>
      </c>
      <c r="P13" s="382">
        <f>SUMPRODUCT((③労働時間!$A$5:$A$353=作業体系表!$B13)*(③労働時間!$B$5:$B$353="5月上旬")*(③労働時間!$J$5:$J$353))</f>
        <v>0</v>
      </c>
      <c r="Q13" s="381">
        <f>SUMPRODUCT((③労働時間!$A$5:$A$353=作業体系表!$B13)*(③労働時間!$B$5:$B$353="5月中旬")*(③労働時間!$J$5:$J$353))</f>
        <v>0</v>
      </c>
      <c r="R13" s="381">
        <f>SUMPRODUCT((③労働時間!$A$5:$A$353=作業体系表!$B13)*(③労働時間!$B$5:$B$353="5月下旬")*(③労働時間!$J$5:$J$353))</f>
        <v>0</v>
      </c>
      <c r="S13" s="381">
        <f>SUMPRODUCT((③労働時間!$A$5:$A$353=作業体系表!$B13)*(③労働時間!$B$5:$B$353="6月上旬")*(③労働時間!$J$5:$J$353))</f>
        <v>0</v>
      </c>
      <c r="T13" s="381">
        <f>SUMPRODUCT((③労働時間!$A$5:$A$353=作業体系表!$B13)*(③労働時間!$B$5:$B$353="6月中旬")*(③労働時間!$J$5:$J$353))</f>
        <v>0</v>
      </c>
      <c r="U13" s="381">
        <f>SUMPRODUCT((③労働時間!$A$5:$A$353=作業体系表!$B13)*(③労働時間!$B$5:$B$353="6月下旬")*(③労働時間!$J$5:$J$353))</f>
        <v>0</v>
      </c>
      <c r="V13" s="381">
        <f>SUMPRODUCT((③労働時間!$A$5:$A$353=作業体系表!$B13)*(③労働時間!$B$5:$B$353="7月上旬")*(③労働時間!$J$5:$J$353))</f>
        <v>0</v>
      </c>
      <c r="W13" s="381">
        <f>SUMPRODUCT((③労働時間!$A$5:$A$353=作業体系表!$B13)*(③労働時間!$B$5:$B$353="7月中旬")*(③労働時間!$J$5:$J$353))</f>
        <v>0</v>
      </c>
      <c r="X13" s="381">
        <f>SUMPRODUCT((③労働時間!$A$5:$A$353=作業体系表!$B13)*(③労働時間!$B$5:$B$353="7月下旬")*(③労働時間!$J$5:$J$353))</f>
        <v>0</v>
      </c>
      <c r="Y13" s="381">
        <f>SUMPRODUCT((③労働時間!$A$5:$A$353=作業体系表!$B13)*(③労働時間!$B$5:$B$353="8月上旬")*(③労働時間!$J$5:$J$353))</f>
        <v>0</v>
      </c>
      <c r="Z13" s="381">
        <f>SUMPRODUCT((③労働時間!$A$5:$A$353=作業体系表!$B13)*(③労働時間!$B$5:$B$353="8月中旬")*(③労働時間!$J$5:$J$353))</f>
        <v>0</v>
      </c>
      <c r="AA13" s="381">
        <f>SUMPRODUCT((③労働時間!$A$5:$A$353=作業体系表!$B13)*(③労働時間!$B$5:$B$353="8月下旬")*(③労働時間!$J$5:$J$353))</f>
        <v>0</v>
      </c>
      <c r="AB13" s="382">
        <f>SUMPRODUCT((③労働時間!$A$5:$A$353=作業体系表!$B13)*(③労働時間!$B$5:$B$353="9月上旬")*(③労働時間!$J$5:$J$353))</f>
        <v>0</v>
      </c>
      <c r="AC13" s="381">
        <f>SUMPRODUCT((③労働時間!$A$5:$A$353=作業体系表!$B13)*(③労働時間!$B$5:$B$353="9月中旬")*(③労働時間!$J$5:$J$353))</f>
        <v>0</v>
      </c>
      <c r="AD13" s="381">
        <f>SUMPRODUCT((③労働時間!$A$5:$A$353=作業体系表!$B13)*(③労働時間!$B$5:$B$353="9月下旬")*(③労働時間!$J$5:$J$353))</f>
        <v>0</v>
      </c>
      <c r="AE13" s="381">
        <f>SUMPRODUCT((③労働時間!$A$5:$A$353=作業体系表!$B13)*(③労働時間!$B$5:$B$353="10月上旬")*(③労働時間!$J$5:$J$353))</f>
        <v>0</v>
      </c>
      <c r="AF13" s="381">
        <f>SUMPRODUCT((③労働時間!$A$5:$A$353=作業体系表!$B13)*(③労働時間!$B$5:$B$353="10月中旬")*(③労働時間!$J$5:$J$353))</f>
        <v>0</v>
      </c>
      <c r="AG13" s="381">
        <f>SUMPRODUCT((③労働時間!$A$5:$A$353=作業体系表!$B13)*(③労働時間!$B$5:$B$353="10月下旬")*(③労働時間!$J$5:$J$353))</f>
        <v>0</v>
      </c>
      <c r="AH13" s="381">
        <f>SUMPRODUCT((③労働時間!$A$5:$A$353=作業体系表!$B13)*(③労働時間!$B$5:$B$353="11月上旬")*(③労働時間!$J$5:$J$353))</f>
        <v>0</v>
      </c>
      <c r="AI13" s="381">
        <f>SUMPRODUCT((③労働時間!$A$5:$A$353=作業体系表!$B13)*(③労働時間!$B$5:$B$353="11月中旬")*(③労働時間!$J$5:$J$353))</f>
        <v>0</v>
      </c>
      <c r="AJ13" s="381">
        <f>SUMPRODUCT((③労働時間!$A$5:$A$353=作業体系表!$B13)*(③労働時間!$B$5:$B$353="11月下旬")*(③労働時間!$J$5:$J$353))</f>
        <v>0</v>
      </c>
      <c r="AK13" s="381">
        <f>SUMPRODUCT((③労働時間!$A$5:$A$353=作業体系表!$B13)*(③労働時間!$B$5:$B$353="12月上旬")*(③労働時間!$J$5:$J$353))</f>
        <v>0</v>
      </c>
      <c r="AL13" s="381">
        <f>SUMPRODUCT((③労働時間!$A$5:$A$353=作業体系表!$B13)*(③労働時間!$B$5:$B$353="12月中旬")*(③労働時間!$J$5:$J$353))</f>
        <v>0</v>
      </c>
      <c r="AM13" s="383">
        <f>SUMPRODUCT((③労働時間!$A$5:$A$353=作業体系表!$B13)*(③労働時間!$B$5:$B$353="12月下旬")*(③労働時間!$J$5:$J$353))</f>
        <v>0</v>
      </c>
      <c r="AN13" s="384">
        <f t="shared" si="0"/>
        <v>0.41050903119868642</v>
      </c>
    </row>
    <row r="14" spans="2:44" ht="15" customHeight="1">
      <c r="B14" s="705" t="str">
        <f>①技術体系!A11</f>
        <v>踏圧</v>
      </c>
      <c r="C14" s="706"/>
      <c r="D14" s="381">
        <f>SUMPRODUCT((③労働時間!$A$5:$A$353=作業体系表!$B14)*(③労働時間!$B$5:$B$353="1月上旬")*(③労働時間!$J$5:$J$353))</f>
        <v>0</v>
      </c>
      <c r="E14" s="381">
        <f>SUMPRODUCT((③労働時間!$A$5:$A$353=作業体系表!$B14)*(③労働時間!$B$5:$B$353="1月中旬")*(③労働時間!$J$5:$J$353))</f>
        <v>0</v>
      </c>
      <c r="F14" s="381">
        <f>SUMPRODUCT((③労働時間!$A$5:$A$353=作業体系表!$B14)*(③労働時間!$B$5:$B$353="1月下旬")*(③労働時間!$J$5:$J$353))</f>
        <v>0.20833333333333331</v>
      </c>
      <c r="G14" s="381">
        <f>SUMPRODUCT((③労働時間!$A$5:$A$353=作業体系表!$B14)*(③労働時間!$B$5:$B$353="2月上旬")*(③労働時間!$J$5:$J$353))</f>
        <v>0.20833333333333331</v>
      </c>
      <c r="H14" s="381">
        <f>SUMPRODUCT((③労働時間!$A$5:$A$353=作業体系表!$B14)*(③労働時間!$B$5:$B$353="2月中旬")*(③労働時間!$J$5:$J$353))</f>
        <v>0</v>
      </c>
      <c r="I14" s="381">
        <f>SUMPRODUCT((③労働時間!$A$5:$A$353=作業体系表!$B14)*(③労働時間!$B$5:$B$353="2月下旬")*(③労働時間!$J$5:$J$353))</f>
        <v>0.20833333333333331</v>
      </c>
      <c r="J14" s="381">
        <f>SUMPRODUCT((③労働時間!$A$5:$A$353=作業体系表!$B14)*(③労働時間!$B$5:$B$353="3月上旬")*(③労働時間!$J$5:$J$353))</f>
        <v>0</v>
      </c>
      <c r="K14" s="381">
        <f>SUMPRODUCT((③労働時間!$A$5:$A$353=作業体系表!$B14)*(③労働時間!$B$5:$B$353="3月中旬")*(③労働時間!$J$5:$J$353))</f>
        <v>0</v>
      </c>
      <c r="L14" s="381">
        <f>SUMPRODUCT((③労働時間!$A$5:$A$353=作業体系表!$B14)*(③労働時間!$B$5:$B$353="3月下旬")*(③労働時間!$J$5:$J$353))</f>
        <v>0</v>
      </c>
      <c r="M14" s="381">
        <f>SUMPRODUCT((③労働時間!$A$5:$A$353=作業体系表!$B14)*(③労働時間!$B$5:$B$353="4月上旬")*(③労働時間!$J$5:$J$353))</f>
        <v>0</v>
      </c>
      <c r="N14" s="381">
        <f>SUMPRODUCT((③労働時間!$A$5:$A$353=作業体系表!$B14)*(③労働時間!$B$5:$B$353="4月中旬")*(③労働時間!$J$5:$J$353))</f>
        <v>0</v>
      </c>
      <c r="O14" s="381">
        <f>SUMPRODUCT((③労働時間!$A$5:$A$353=作業体系表!$B14)*(③労働時間!$B$5:$B$353="4月下旬")*(③労働時間!$J$5:$J$353))</f>
        <v>0</v>
      </c>
      <c r="P14" s="382">
        <f>SUMPRODUCT((③労働時間!$A$5:$A$353=作業体系表!$B14)*(③労働時間!$B$5:$B$353="5月上旬")*(③労働時間!$J$5:$J$353))</f>
        <v>0</v>
      </c>
      <c r="Q14" s="381">
        <f>SUMPRODUCT((③労働時間!$A$5:$A$353=作業体系表!$B14)*(③労働時間!$B$5:$B$353="5月中旬")*(③労働時間!$J$5:$J$353))</f>
        <v>0</v>
      </c>
      <c r="R14" s="381">
        <f>SUMPRODUCT((③労働時間!$A$5:$A$353=作業体系表!$B14)*(③労働時間!$B$5:$B$353="5月下旬")*(③労働時間!$J$5:$J$353))</f>
        <v>0</v>
      </c>
      <c r="S14" s="381">
        <f>SUMPRODUCT((③労働時間!$A$5:$A$353=作業体系表!$B14)*(③労働時間!$B$5:$B$353="6月上旬")*(③労働時間!$J$5:$J$353))</f>
        <v>0</v>
      </c>
      <c r="T14" s="381">
        <f>SUMPRODUCT((③労働時間!$A$5:$A$353=作業体系表!$B14)*(③労働時間!$B$5:$B$353="6月中旬")*(③労働時間!$J$5:$J$353))</f>
        <v>0</v>
      </c>
      <c r="U14" s="381">
        <f>SUMPRODUCT((③労働時間!$A$5:$A$353=作業体系表!$B14)*(③労働時間!$B$5:$B$353="6月下旬")*(③労働時間!$J$5:$J$353))</f>
        <v>0</v>
      </c>
      <c r="V14" s="381">
        <f>SUMPRODUCT((③労働時間!$A$5:$A$353=作業体系表!$B14)*(③労働時間!$B$5:$B$353="7月上旬")*(③労働時間!$J$5:$J$353))</f>
        <v>0</v>
      </c>
      <c r="W14" s="381">
        <f>SUMPRODUCT((③労働時間!$A$5:$A$353=作業体系表!$B14)*(③労働時間!$B$5:$B$353="7月中旬")*(③労働時間!$J$5:$J$353))</f>
        <v>0</v>
      </c>
      <c r="X14" s="381">
        <f>SUMPRODUCT((③労働時間!$A$5:$A$353=作業体系表!$B14)*(③労働時間!$B$5:$B$353="7月下旬")*(③労働時間!$J$5:$J$353))</f>
        <v>0</v>
      </c>
      <c r="Y14" s="381">
        <f>SUMPRODUCT((③労働時間!$A$5:$A$353=作業体系表!$B14)*(③労働時間!$B$5:$B$353="8月上旬")*(③労働時間!$J$5:$J$353))</f>
        <v>0</v>
      </c>
      <c r="Z14" s="381">
        <f>SUMPRODUCT((③労働時間!$A$5:$A$353=作業体系表!$B14)*(③労働時間!$B$5:$B$353="8月中旬")*(③労働時間!$J$5:$J$353))</f>
        <v>0</v>
      </c>
      <c r="AA14" s="381">
        <f>SUMPRODUCT((③労働時間!$A$5:$A$353=作業体系表!$B14)*(③労働時間!$B$5:$B$353="8月下旬")*(③労働時間!$J$5:$J$353))</f>
        <v>0</v>
      </c>
      <c r="AB14" s="382">
        <f>SUMPRODUCT((③労働時間!$A$5:$A$353=作業体系表!$B14)*(③労働時間!$B$5:$B$353="9月上旬")*(③労働時間!$J$5:$J$353))</f>
        <v>0</v>
      </c>
      <c r="AC14" s="381">
        <f>SUMPRODUCT((③労働時間!$A$5:$A$353=作業体系表!$B14)*(③労働時間!$B$5:$B$353="9月中旬")*(③労働時間!$J$5:$J$353))</f>
        <v>0</v>
      </c>
      <c r="AD14" s="381">
        <f>SUMPRODUCT((③労働時間!$A$5:$A$353=作業体系表!$B14)*(③労働時間!$B$5:$B$353="9月下旬")*(③労働時間!$J$5:$J$353))</f>
        <v>0</v>
      </c>
      <c r="AE14" s="381">
        <f>SUMPRODUCT((③労働時間!$A$5:$A$353=作業体系表!$B14)*(③労働時間!$B$5:$B$353="10月上旬")*(③労働時間!$J$5:$J$353))</f>
        <v>0</v>
      </c>
      <c r="AF14" s="381">
        <f>SUMPRODUCT((③労働時間!$A$5:$A$353=作業体系表!$B14)*(③労働時間!$B$5:$B$353="10月中旬")*(③労働時間!$J$5:$J$353))</f>
        <v>0</v>
      </c>
      <c r="AG14" s="381">
        <f>SUMPRODUCT((③労働時間!$A$5:$A$353=作業体系表!$B14)*(③労働時間!$B$5:$B$353="10月下旬")*(③労働時間!$J$5:$J$353))</f>
        <v>0</v>
      </c>
      <c r="AH14" s="381">
        <f>SUMPRODUCT((③労働時間!$A$5:$A$353=作業体系表!$B14)*(③労働時間!$B$5:$B$353="11月上旬")*(③労働時間!$J$5:$J$353))</f>
        <v>0</v>
      </c>
      <c r="AI14" s="381">
        <f>SUMPRODUCT((③労働時間!$A$5:$A$353=作業体系表!$B14)*(③労働時間!$B$5:$B$353="11月中旬")*(③労働時間!$J$5:$J$353))</f>
        <v>0</v>
      </c>
      <c r="AJ14" s="381">
        <f>SUMPRODUCT((③労働時間!$A$5:$A$353=作業体系表!$B14)*(③労働時間!$B$5:$B$353="11月下旬")*(③労働時間!$J$5:$J$353))</f>
        <v>0</v>
      </c>
      <c r="AK14" s="381">
        <f>SUMPRODUCT((③労働時間!$A$5:$A$353=作業体系表!$B14)*(③労働時間!$B$5:$B$353="12月上旬")*(③労働時間!$J$5:$J$353))</f>
        <v>0</v>
      </c>
      <c r="AL14" s="381">
        <f>SUMPRODUCT((③労働時間!$A$5:$A$353=作業体系表!$B14)*(③労働時間!$B$5:$B$353="12月中旬")*(③労働時間!$J$5:$J$353))</f>
        <v>0</v>
      </c>
      <c r="AM14" s="383">
        <f>SUMPRODUCT((③労働時間!$A$5:$A$353=作業体系表!$B14)*(③労働時間!$B$5:$B$353="12月下旬")*(③労働時間!$J$5:$J$353))</f>
        <v>0</v>
      </c>
      <c r="AN14" s="384">
        <f t="shared" si="0"/>
        <v>0.625</v>
      </c>
    </row>
    <row r="15" spans="2:44" ht="15" customHeight="1">
      <c r="B15" s="705" t="str">
        <f>①技術体系!A12</f>
        <v>中耕</v>
      </c>
      <c r="C15" s="706"/>
      <c r="D15" s="381">
        <f>SUMPRODUCT((③労働時間!$A$5:$A$353=作業体系表!$B15)*(③労働時間!$B$5:$B$353="1月上旬")*(③労働時間!$J$5:$J$353))</f>
        <v>0</v>
      </c>
      <c r="E15" s="381">
        <f>SUMPRODUCT((③労働時間!$A$5:$A$353=作業体系表!$B15)*(③労働時間!$B$5:$B$353="1月中旬")*(③労働時間!$J$5:$J$353))</f>
        <v>0</v>
      </c>
      <c r="F15" s="381">
        <f>SUMPRODUCT((③労働時間!$A$5:$A$353=作業体系表!$B15)*(③労働時間!$B$5:$B$353="1月下旬")*(③労働時間!$J$5:$J$353))</f>
        <v>0</v>
      </c>
      <c r="G15" s="381">
        <f>SUMPRODUCT((③労働時間!$A$5:$A$353=作業体系表!$B15)*(③労働時間!$B$5:$B$353="2月上旬")*(③労働時間!$J$5:$J$353))</f>
        <v>0</v>
      </c>
      <c r="H15" s="381">
        <f>SUMPRODUCT((③労働時間!$A$5:$A$353=作業体系表!$B15)*(③労働時間!$B$5:$B$353="2月中旬")*(③労働時間!$J$5:$J$353))</f>
        <v>0.57870370370370372</v>
      </c>
      <c r="I15" s="381">
        <f>SUMPRODUCT((③労働時間!$A$5:$A$353=作業体系表!$B15)*(③労働時間!$B$5:$B$353="2月下旬")*(③労働時間!$J$5:$J$353))</f>
        <v>0</v>
      </c>
      <c r="J15" s="381">
        <f>SUMPRODUCT((③労働時間!$A$5:$A$353=作業体系表!$B15)*(③労働時間!$B$5:$B$353="3月上旬")*(③労働時間!$J$5:$J$353))</f>
        <v>0</v>
      </c>
      <c r="K15" s="381">
        <f>SUMPRODUCT((③労働時間!$A$5:$A$353=作業体系表!$B15)*(③労働時間!$B$5:$B$353="3月中旬")*(③労働時間!$J$5:$J$353))</f>
        <v>0</v>
      </c>
      <c r="L15" s="381">
        <f>SUMPRODUCT((③労働時間!$A$5:$A$353=作業体系表!$B15)*(③労働時間!$B$5:$B$353="3月下旬")*(③労働時間!$J$5:$J$353))</f>
        <v>0</v>
      </c>
      <c r="M15" s="381">
        <f>SUMPRODUCT((③労働時間!$A$5:$A$353=作業体系表!$B15)*(③労働時間!$B$5:$B$353="4月上旬")*(③労働時間!$J$5:$J$353))</f>
        <v>0</v>
      </c>
      <c r="N15" s="381">
        <f>SUMPRODUCT((③労働時間!$A$5:$A$353=作業体系表!$B15)*(③労働時間!$B$5:$B$353="4月中旬")*(③労働時間!$J$5:$J$353))</f>
        <v>0</v>
      </c>
      <c r="O15" s="381">
        <f>SUMPRODUCT((③労働時間!$A$5:$A$353=作業体系表!$B15)*(③労働時間!$B$5:$B$353="4月下旬")*(③労働時間!$J$5:$J$353))</f>
        <v>0</v>
      </c>
      <c r="P15" s="382">
        <f>SUMPRODUCT((③労働時間!$A$5:$A$353=作業体系表!$B15)*(③労働時間!$B$5:$B$353="5月上旬")*(③労働時間!$J$5:$J$353))</f>
        <v>0</v>
      </c>
      <c r="Q15" s="381">
        <f>SUMPRODUCT((③労働時間!$A$5:$A$353=作業体系表!$B15)*(③労働時間!$B$5:$B$353="5月中旬")*(③労働時間!$J$5:$J$353))</f>
        <v>0</v>
      </c>
      <c r="R15" s="381">
        <f>SUMPRODUCT((③労働時間!$A$5:$A$353=作業体系表!$B15)*(③労働時間!$B$5:$B$353="5月下旬")*(③労働時間!$J$5:$J$353))</f>
        <v>0</v>
      </c>
      <c r="S15" s="381">
        <f>SUMPRODUCT((③労働時間!$A$5:$A$353=作業体系表!$B15)*(③労働時間!$B$5:$B$353="6月上旬")*(③労働時間!$J$5:$J$353))</f>
        <v>0</v>
      </c>
      <c r="T15" s="381">
        <f>SUMPRODUCT((③労働時間!$A$5:$A$353=作業体系表!$B15)*(③労働時間!$B$5:$B$353="6月中旬")*(③労働時間!$J$5:$J$353))</f>
        <v>0</v>
      </c>
      <c r="U15" s="381">
        <f>SUMPRODUCT((③労働時間!$A$5:$A$353=作業体系表!$B15)*(③労働時間!$B$5:$B$353="6月下旬")*(③労働時間!$J$5:$J$353))</f>
        <v>0</v>
      </c>
      <c r="V15" s="381">
        <f>SUMPRODUCT((③労働時間!$A$5:$A$353=作業体系表!$B15)*(③労働時間!$B$5:$B$353="7月上旬")*(③労働時間!$J$5:$J$353))</f>
        <v>0</v>
      </c>
      <c r="W15" s="381">
        <f>SUMPRODUCT((③労働時間!$A$5:$A$353=作業体系表!$B15)*(③労働時間!$B$5:$B$353="7月中旬")*(③労働時間!$J$5:$J$353))</f>
        <v>0</v>
      </c>
      <c r="X15" s="381">
        <f>SUMPRODUCT((③労働時間!$A$5:$A$353=作業体系表!$B15)*(③労働時間!$B$5:$B$353="7月下旬")*(③労働時間!$J$5:$J$353))</f>
        <v>0</v>
      </c>
      <c r="Y15" s="381">
        <f>SUMPRODUCT((③労働時間!$A$5:$A$353=作業体系表!$B15)*(③労働時間!$B$5:$B$353="8月上旬")*(③労働時間!$J$5:$J$353))</f>
        <v>0</v>
      </c>
      <c r="Z15" s="381">
        <f>SUMPRODUCT((③労働時間!$A$5:$A$353=作業体系表!$B15)*(③労働時間!$B$5:$B$353="8月中旬")*(③労働時間!$J$5:$J$353))</f>
        <v>0</v>
      </c>
      <c r="AA15" s="381">
        <f>SUMPRODUCT((③労働時間!$A$5:$A$353=作業体系表!$B15)*(③労働時間!$B$5:$B$353="8月下旬")*(③労働時間!$J$5:$J$353))</f>
        <v>0</v>
      </c>
      <c r="AB15" s="382">
        <f>SUMPRODUCT((③労働時間!$A$5:$A$353=作業体系表!$B15)*(③労働時間!$B$5:$B$353="9月上旬")*(③労働時間!$J$5:$J$353))</f>
        <v>0</v>
      </c>
      <c r="AC15" s="381">
        <f>SUMPRODUCT((③労働時間!$A$5:$A$353=作業体系表!$B15)*(③労働時間!$B$5:$B$353="9月中旬")*(③労働時間!$J$5:$J$353))</f>
        <v>0</v>
      </c>
      <c r="AD15" s="381">
        <f>SUMPRODUCT((③労働時間!$A$5:$A$353=作業体系表!$B15)*(③労働時間!$B$5:$B$353="9月下旬")*(③労働時間!$J$5:$J$353))</f>
        <v>0</v>
      </c>
      <c r="AE15" s="381">
        <f>SUMPRODUCT((③労働時間!$A$5:$A$353=作業体系表!$B15)*(③労働時間!$B$5:$B$353="10月上旬")*(③労働時間!$J$5:$J$353))</f>
        <v>0</v>
      </c>
      <c r="AF15" s="381">
        <f>SUMPRODUCT((③労働時間!$A$5:$A$353=作業体系表!$B15)*(③労働時間!$B$5:$B$353="10月中旬")*(③労働時間!$J$5:$J$353))</f>
        <v>0</v>
      </c>
      <c r="AG15" s="381">
        <f>SUMPRODUCT((③労働時間!$A$5:$A$353=作業体系表!$B15)*(③労働時間!$B$5:$B$353="10月下旬")*(③労働時間!$J$5:$J$353))</f>
        <v>0</v>
      </c>
      <c r="AH15" s="381">
        <f>SUMPRODUCT((③労働時間!$A$5:$A$353=作業体系表!$B15)*(③労働時間!$B$5:$B$353="11月上旬")*(③労働時間!$J$5:$J$353))</f>
        <v>0</v>
      </c>
      <c r="AI15" s="381">
        <f>SUMPRODUCT((③労働時間!$A$5:$A$353=作業体系表!$B15)*(③労働時間!$B$5:$B$353="11月中旬")*(③労働時間!$J$5:$J$353))</f>
        <v>0</v>
      </c>
      <c r="AJ15" s="381">
        <f>SUMPRODUCT((③労働時間!$A$5:$A$353=作業体系表!$B15)*(③労働時間!$B$5:$B$353="11月下旬")*(③労働時間!$J$5:$J$353))</f>
        <v>0</v>
      </c>
      <c r="AK15" s="381">
        <f>SUMPRODUCT((③労働時間!$A$5:$A$353=作業体系表!$B15)*(③労働時間!$B$5:$B$353="12月上旬")*(③労働時間!$J$5:$J$353))</f>
        <v>0</v>
      </c>
      <c r="AL15" s="381">
        <f>SUMPRODUCT((③労働時間!$A$5:$A$353=作業体系表!$B15)*(③労働時間!$B$5:$B$353="12月中旬")*(③労働時間!$J$5:$J$353))</f>
        <v>0</v>
      </c>
      <c r="AM15" s="383">
        <f>SUMPRODUCT((③労働時間!$A$5:$A$353=作業体系表!$B15)*(③労働時間!$B$5:$B$353="12月下旬")*(③労働時間!$J$5:$J$353))</f>
        <v>0</v>
      </c>
      <c r="AN15" s="384">
        <f t="shared" si="0"/>
        <v>0.57870370370370372</v>
      </c>
    </row>
    <row r="16" spans="2:44" ht="15" customHeight="1">
      <c r="B16" s="705" t="str">
        <f>①技術体系!A13</f>
        <v>溝上・土入</v>
      </c>
      <c r="C16" s="706"/>
      <c r="D16" s="381">
        <f>SUMPRODUCT((③労働時間!$A$5:$A$353=作業体系表!$B16)*(③労働時間!$B$5:$B$353="1月上旬")*(③労働時間!$J$5:$J$353))</f>
        <v>0</v>
      </c>
      <c r="E16" s="381">
        <f>SUMPRODUCT((③労働時間!$A$5:$A$353=作業体系表!$B16)*(③労働時間!$B$5:$B$353="1月中旬")*(③労働時間!$J$5:$J$353))</f>
        <v>0</v>
      </c>
      <c r="F16" s="381">
        <f>SUMPRODUCT((③労働時間!$A$5:$A$353=作業体系表!$B16)*(③労働時間!$B$5:$B$353="1月下旬")*(③労働時間!$J$5:$J$353))</f>
        <v>0</v>
      </c>
      <c r="G16" s="381">
        <f>SUMPRODUCT((③労働時間!$A$5:$A$353=作業体系表!$B16)*(③労働時間!$B$5:$B$353="2月上旬")*(③労働時間!$J$5:$J$353))</f>
        <v>0</v>
      </c>
      <c r="H16" s="381">
        <f>SUMPRODUCT((③労働時間!$A$5:$A$353=作業体系表!$B16)*(③労働時間!$B$5:$B$353="2月中旬")*(③労働時間!$J$5:$J$353))</f>
        <v>0</v>
      </c>
      <c r="I16" s="381">
        <f>SUMPRODUCT((③労働時間!$A$5:$A$353=作業体系表!$B16)*(③労働時間!$B$5:$B$353="2月下旬")*(③労働時間!$J$5:$J$353))</f>
        <v>0</v>
      </c>
      <c r="J16" s="381">
        <f>SUMPRODUCT((③労働時間!$A$5:$A$353=作業体系表!$B16)*(③労働時間!$B$5:$B$353="3月上旬")*(③労働時間!$J$5:$J$353))</f>
        <v>0.43787629994526556</v>
      </c>
      <c r="K16" s="381">
        <f>SUMPRODUCT((③労働時間!$A$5:$A$353=作業体系表!$B16)*(③労働時間!$B$5:$B$353="3月中旬")*(③労働時間!$J$5:$J$353))</f>
        <v>0.43787629994526556</v>
      </c>
      <c r="L16" s="381">
        <f>SUMPRODUCT((③労働時間!$A$5:$A$353=作業体系表!$B16)*(③労働時間!$B$5:$B$353="3月下旬")*(③労働時間!$J$5:$J$353))</f>
        <v>0</v>
      </c>
      <c r="M16" s="381">
        <f>SUMPRODUCT((③労働時間!$A$5:$A$353=作業体系表!$B16)*(③労働時間!$B$5:$B$353="4月上旬")*(③労働時間!$J$5:$J$353))</f>
        <v>0</v>
      </c>
      <c r="N16" s="381">
        <f>SUMPRODUCT((③労働時間!$A$5:$A$353=作業体系表!$B16)*(③労働時間!$B$5:$B$353="4月中旬")*(③労働時間!$J$5:$J$353))</f>
        <v>0</v>
      </c>
      <c r="O16" s="381">
        <f>SUMPRODUCT((③労働時間!$A$5:$A$353=作業体系表!$B16)*(③労働時間!$B$5:$B$353="4月下旬")*(③労働時間!$J$5:$J$353))</f>
        <v>0</v>
      </c>
      <c r="P16" s="382">
        <f>SUMPRODUCT((③労働時間!$A$5:$A$353=作業体系表!$B16)*(③労働時間!$B$5:$B$353="5月上旬")*(③労働時間!$J$5:$J$353))</f>
        <v>0</v>
      </c>
      <c r="Q16" s="381">
        <f>SUMPRODUCT((③労働時間!$A$5:$A$353=作業体系表!$B16)*(③労働時間!$B$5:$B$353="5月中旬")*(③労働時間!$J$5:$J$353))</f>
        <v>0</v>
      </c>
      <c r="R16" s="381">
        <f>SUMPRODUCT((③労働時間!$A$5:$A$353=作業体系表!$B16)*(③労働時間!$B$5:$B$353="5月下旬")*(③労働時間!$J$5:$J$353))</f>
        <v>0</v>
      </c>
      <c r="S16" s="381">
        <f>SUMPRODUCT((③労働時間!$A$5:$A$353=作業体系表!$B16)*(③労働時間!$B$5:$B$353="6月上旬")*(③労働時間!$J$5:$J$353))</f>
        <v>0</v>
      </c>
      <c r="T16" s="381">
        <f>SUMPRODUCT((③労働時間!$A$5:$A$353=作業体系表!$B16)*(③労働時間!$B$5:$B$353="6月中旬")*(③労働時間!$J$5:$J$353))</f>
        <v>0</v>
      </c>
      <c r="U16" s="381">
        <f>SUMPRODUCT((③労働時間!$A$5:$A$353=作業体系表!$B16)*(③労働時間!$B$5:$B$353="6月下旬")*(③労働時間!$J$5:$J$353))</f>
        <v>0</v>
      </c>
      <c r="V16" s="381">
        <f>SUMPRODUCT((③労働時間!$A$5:$A$353=作業体系表!$B16)*(③労働時間!$B$5:$B$353="7月上旬")*(③労働時間!$J$5:$J$353))</f>
        <v>0</v>
      </c>
      <c r="W16" s="381">
        <f>SUMPRODUCT((③労働時間!$A$5:$A$353=作業体系表!$B16)*(③労働時間!$B$5:$B$353="7月中旬")*(③労働時間!$J$5:$J$353))</f>
        <v>0</v>
      </c>
      <c r="X16" s="381">
        <f>SUMPRODUCT((③労働時間!$A$5:$A$353=作業体系表!$B16)*(③労働時間!$B$5:$B$353="7月下旬")*(③労働時間!$J$5:$J$353))</f>
        <v>0</v>
      </c>
      <c r="Y16" s="381">
        <f>SUMPRODUCT((③労働時間!$A$5:$A$353=作業体系表!$B16)*(③労働時間!$B$5:$B$353="8月上旬")*(③労働時間!$J$5:$J$353))</f>
        <v>0</v>
      </c>
      <c r="Z16" s="381">
        <f>SUMPRODUCT((③労働時間!$A$5:$A$353=作業体系表!$B16)*(③労働時間!$B$5:$B$353="8月中旬")*(③労働時間!$J$5:$J$353))</f>
        <v>0</v>
      </c>
      <c r="AA16" s="381">
        <f>SUMPRODUCT((③労働時間!$A$5:$A$353=作業体系表!$B16)*(③労働時間!$B$5:$B$353="8月下旬")*(③労働時間!$J$5:$J$353))</f>
        <v>0</v>
      </c>
      <c r="AB16" s="382">
        <f>SUMPRODUCT((③労働時間!$A$5:$A$353=作業体系表!$B16)*(③労働時間!$B$5:$B$353="9月上旬")*(③労働時間!$J$5:$J$353))</f>
        <v>0</v>
      </c>
      <c r="AC16" s="381">
        <f>SUMPRODUCT((③労働時間!$A$5:$A$353=作業体系表!$B16)*(③労働時間!$B$5:$B$353="9月中旬")*(③労働時間!$J$5:$J$353))</f>
        <v>0</v>
      </c>
      <c r="AD16" s="381">
        <f>SUMPRODUCT((③労働時間!$A$5:$A$353=作業体系表!$B16)*(③労働時間!$B$5:$B$353="9月下旬")*(③労働時間!$J$5:$J$353))</f>
        <v>0</v>
      </c>
      <c r="AE16" s="381">
        <f>SUMPRODUCT((③労働時間!$A$5:$A$353=作業体系表!$B16)*(③労働時間!$B$5:$B$353="10月上旬")*(③労働時間!$J$5:$J$353))</f>
        <v>0</v>
      </c>
      <c r="AF16" s="381">
        <f>SUMPRODUCT((③労働時間!$A$5:$A$353=作業体系表!$B16)*(③労働時間!$B$5:$B$353="10月中旬")*(③労働時間!$J$5:$J$353))</f>
        <v>0</v>
      </c>
      <c r="AG16" s="381">
        <f>SUMPRODUCT((③労働時間!$A$5:$A$353=作業体系表!$B16)*(③労働時間!$B$5:$B$353="10月下旬")*(③労働時間!$J$5:$J$353))</f>
        <v>0</v>
      </c>
      <c r="AH16" s="381">
        <f>SUMPRODUCT((③労働時間!$A$5:$A$353=作業体系表!$B16)*(③労働時間!$B$5:$B$353="11月上旬")*(③労働時間!$J$5:$J$353))</f>
        <v>0</v>
      </c>
      <c r="AI16" s="381">
        <f>SUMPRODUCT((③労働時間!$A$5:$A$353=作業体系表!$B16)*(③労働時間!$B$5:$B$353="11月中旬")*(③労働時間!$J$5:$J$353))</f>
        <v>0</v>
      </c>
      <c r="AJ16" s="381">
        <f>SUMPRODUCT((③労働時間!$A$5:$A$353=作業体系表!$B16)*(③労働時間!$B$5:$B$353="11月下旬")*(③労働時間!$J$5:$J$353))</f>
        <v>0</v>
      </c>
      <c r="AK16" s="381">
        <f>SUMPRODUCT((③労働時間!$A$5:$A$353=作業体系表!$B16)*(③労働時間!$B$5:$B$353="12月上旬")*(③労働時間!$J$5:$J$353))</f>
        <v>0</v>
      </c>
      <c r="AL16" s="381">
        <f>SUMPRODUCT((③労働時間!$A$5:$A$353=作業体系表!$B16)*(③労働時間!$B$5:$B$353="12月中旬")*(③労働時間!$J$5:$J$353))</f>
        <v>0</v>
      </c>
      <c r="AM16" s="383">
        <f>SUMPRODUCT((③労働時間!$A$5:$A$353=作業体系表!$B16)*(③労働時間!$B$5:$B$353="12月下旬")*(③労働時間!$J$5:$J$353))</f>
        <v>0</v>
      </c>
      <c r="AN16" s="384">
        <f t="shared" si="0"/>
        <v>0.87575259989053111</v>
      </c>
    </row>
    <row r="17" spans="2:40" ht="15" customHeight="1">
      <c r="B17" s="705" t="str">
        <f>①技術体系!A14</f>
        <v>施肥</v>
      </c>
      <c r="C17" s="706"/>
      <c r="D17" s="381">
        <f>SUMPRODUCT((③労働時間!$A$5:$A$353=作業体系表!$B17)*(③労働時間!$B$5:$B$353="1月上旬")*(③労働時間!$J$5:$J$353))</f>
        <v>0</v>
      </c>
      <c r="E17" s="381">
        <f>SUMPRODUCT((③労働時間!$A$5:$A$353=作業体系表!$B17)*(③労働時間!$B$5:$B$353="1月中旬")*(③労働時間!$J$5:$J$353))</f>
        <v>0</v>
      </c>
      <c r="F17" s="381">
        <f>SUMPRODUCT((③労働時間!$A$5:$A$353=作業体系表!$B17)*(③労働時間!$B$5:$B$353="1月下旬")*(③労働時間!$J$5:$J$353))</f>
        <v>0.43787629994526556</v>
      </c>
      <c r="G17" s="381">
        <f>SUMPRODUCT((③労働時間!$A$5:$A$353=作業体系表!$B17)*(③労働時間!$B$5:$B$353="2月上旬")*(③労働時間!$J$5:$J$353))</f>
        <v>0</v>
      </c>
      <c r="H17" s="381">
        <f>SUMPRODUCT((③労働時間!$A$5:$A$353=作業体系表!$B17)*(③労働時間!$B$5:$B$353="2月中旬")*(③労働時間!$J$5:$J$353))</f>
        <v>0</v>
      </c>
      <c r="I17" s="381">
        <f>SUMPRODUCT((③労働時間!$A$5:$A$353=作業体系表!$B17)*(③労働時間!$B$5:$B$353="2月下旬")*(③労働時間!$J$5:$J$353))</f>
        <v>0.43787629994526556</v>
      </c>
      <c r="J17" s="381">
        <f>SUMPRODUCT((③労働時間!$A$5:$A$353=作業体系表!$B17)*(③労働時間!$B$5:$B$353="3月上旬")*(③労働時間!$J$5:$J$353))</f>
        <v>0</v>
      </c>
      <c r="K17" s="381">
        <f>SUMPRODUCT((③労働時間!$A$5:$A$353=作業体系表!$B17)*(③労働時間!$B$5:$B$353="3月中旬")*(③労働時間!$J$5:$J$353))</f>
        <v>0</v>
      </c>
      <c r="L17" s="381">
        <f>SUMPRODUCT((③労働時間!$A$5:$A$353=作業体系表!$B17)*(③労働時間!$B$5:$B$353="3月下旬")*(③労働時間!$J$5:$J$353))</f>
        <v>0</v>
      </c>
      <c r="M17" s="381">
        <f>SUMPRODUCT((③労働時間!$A$5:$A$353=作業体系表!$B17)*(③労働時間!$B$5:$B$353="4月上旬")*(③労働時間!$J$5:$J$353))</f>
        <v>0</v>
      </c>
      <c r="N17" s="381">
        <f>SUMPRODUCT((③労働時間!$A$5:$A$353=作業体系表!$B17)*(③労働時間!$B$5:$B$353="4月中旬")*(③労働時間!$J$5:$J$353))</f>
        <v>0</v>
      </c>
      <c r="O17" s="381">
        <f>SUMPRODUCT((③労働時間!$A$5:$A$353=作業体系表!$B17)*(③労働時間!$B$5:$B$353="4月下旬")*(③労働時間!$J$5:$J$353))</f>
        <v>0</v>
      </c>
      <c r="P17" s="382">
        <f>SUMPRODUCT((③労働時間!$A$5:$A$353=作業体系表!$B17)*(③労働時間!$B$5:$B$353="5月上旬")*(③労働時間!$J$5:$J$353))</f>
        <v>0</v>
      </c>
      <c r="Q17" s="381">
        <f>SUMPRODUCT((③労働時間!$A$5:$A$353=作業体系表!$B17)*(③労働時間!$B$5:$B$353="5月中旬")*(③労働時間!$J$5:$J$353))</f>
        <v>0</v>
      </c>
      <c r="R17" s="381">
        <f>SUMPRODUCT((③労働時間!$A$5:$A$353=作業体系表!$B17)*(③労働時間!$B$5:$B$353="5月下旬")*(③労働時間!$J$5:$J$353))</f>
        <v>0</v>
      </c>
      <c r="S17" s="381">
        <f>SUMPRODUCT((③労働時間!$A$5:$A$353=作業体系表!$B17)*(③労働時間!$B$5:$B$353="6月上旬")*(③労働時間!$J$5:$J$353))</f>
        <v>0</v>
      </c>
      <c r="T17" s="381">
        <f>SUMPRODUCT((③労働時間!$A$5:$A$353=作業体系表!$B17)*(③労働時間!$B$5:$B$353="6月中旬")*(③労働時間!$J$5:$J$353))</f>
        <v>0</v>
      </c>
      <c r="U17" s="381">
        <f>SUMPRODUCT((③労働時間!$A$5:$A$353=作業体系表!$B17)*(③労働時間!$B$5:$B$353="6月下旬")*(③労働時間!$J$5:$J$353))</f>
        <v>0</v>
      </c>
      <c r="V17" s="381">
        <f>SUMPRODUCT((③労働時間!$A$5:$A$353=作業体系表!$B17)*(③労働時間!$B$5:$B$353="7月上旬")*(③労働時間!$J$5:$J$353))</f>
        <v>0</v>
      </c>
      <c r="W17" s="381">
        <f>SUMPRODUCT((③労働時間!$A$5:$A$353=作業体系表!$B17)*(③労働時間!$B$5:$B$353="7月中旬")*(③労働時間!$J$5:$J$353))</f>
        <v>0</v>
      </c>
      <c r="X17" s="381">
        <f>SUMPRODUCT((③労働時間!$A$5:$A$353=作業体系表!$B17)*(③労働時間!$B$5:$B$353="7月下旬")*(③労働時間!$J$5:$J$353))</f>
        <v>0</v>
      </c>
      <c r="Y17" s="381">
        <f>SUMPRODUCT((③労働時間!$A$5:$A$353=作業体系表!$B17)*(③労働時間!$B$5:$B$353="8月上旬")*(③労働時間!$J$5:$J$353))</f>
        <v>0</v>
      </c>
      <c r="Z17" s="381">
        <f>SUMPRODUCT((③労働時間!$A$5:$A$353=作業体系表!$B17)*(③労働時間!$B$5:$B$353="8月中旬")*(③労働時間!$J$5:$J$353))</f>
        <v>0</v>
      </c>
      <c r="AA17" s="381">
        <f>SUMPRODUCT((③労働時間!$A$5:$A$353=作業体系表!$B17)*(③労働時間!$B$5:$B$353="8月下旬")*(③労働時間!$J$5:$J$353))</f>
        <v>0</v>
      </c>
      <c r="AB17" s="382">
        <f>SUMPRODUCT((③労働時間!$A$5:$A$353=作業体系表!$B17)*(③労働時間!$B$5:$B$353="9月上旬")*(③労働時間!$J$5:$J$353))</f>
        <v>0</v>
      </c>
      <c r="AC17" s="381">
        <f>SUMPRODUCT((③労働時間!$A$5:$A$353=作業体系表!$B17)*(③労働時間!$B$5:$B$353="9月中旬")*(③労働時間!$J$5:$J$353))</f>
        <v>0</v>
      </c>
      <c r="AD17" s="381">
        <f>SUMPRODUCT((③労働時間!$A$5:$A$353=作業体系表!$B17)*(③労働時間!$B$5:$B$353="9月下旬")*(③労働時間!$J$5:$J$353))</f>
        <v>0</v>
      </c>
      <c r="AE17" s="381">
        <f>SUMPRODUCT((③労働時間!$A$5:$A$353=作業体系表!$B17)*(③労働時間!$B$5:$B$353="10月上旬")*(③労働時間!$J$5:$J$353))</f>
        <v>0</v>
      </c>
      <c r="AF17" s="381">
        <f>SUMPRODUCT((③労働時間!$A$5:$A$353=作業体系表!$B17)*(③労働時間!$B$5:$B$353="10月中旬")*(③労働時間!$J$5:$J$353))</f>
        <v>0</v>
      </c>
      <c r="AG17" s="381">
        <f>SUMPRODUCT((③労働時間!$A$5:$A$353=作業体系表!$B17)*(③労働時間!$B$5:$B$353="10月下旬")*(③労働時間!$J$5:$J$353))</f>
        <v>0</v>
      </c>
      <c r="AH17" s="381">
        <f>SUMPRODUCT((③労働時間!$A$5:$A$353=作業体系表!$B17)*(③労働時間!$B$5:$B$353="11月上旬")*(③労働時間!$J$5:$J$353))</f>
        <v>0</v>
      </c>
      <c r="AI17" s="381">
        <f>SUMPRODUCT((③労働時間!$A$5:$A$353=作業体系表!$B17)*(③労働時間!$B$5:$B$353="11月中旬")*(③労働時間!$J$5:$J$353))</f>
        <v>0</v>
      </c>
      <c r="AJ17" s="381">
        <f>SUMPRODUCT((③労働時間!$A$5:$A$353=作業体系表!$B17)*(③労働時間!$B$5:$B$353="11月下旬")*(③労働時間!$J$5:$J$353))</f>
        <v>0</v>
      </c>
      <c r="AK17" s="381">
        <f>SUMPRODUCT((③労働時間!$A$5:$A$353=作業体系表!$B17)*(③労働時間!$B$5:$B$353="12月上旬")*(③労働時間!$J$5:$J$353))</f>
        <v>0</v>
      </c>
      <c r="AL17" s="381">
        <f>SUMPRODUCT((③労働時間!$A$5:$A$353=作業体系表!$B17)*(③労働時間!$B$5:$B$353="12月中旬")*(③労働時間!$J$5:$J$353))</f>
        <v>0</v>
      </c>
      <c r="AM17" s="383">
        <f>SUMPRODUCT((③労働時間!$A$5:$A$353=作業体系表!$B17)*(③労働時間!$B$5:$B$353="12月下旬")*(③労働時間!$J$5:$J$353))</f>
        <v>0</v>
      </c>
      <c r="AN17" s="384">
        <f t="shared" si="0"/>
        <v>0.87575259989053111</v>
      </c>
    </row>
    <row r="18" spans="2:40" ht="15" customHeight="1">
      <c r="B18" s="705" t="str">
        <f>①技術体系!A15</f>
        <v>収穫</v>
      </c>
      <c r="C18" s="706"/>
      <c r="D18" s="381">
        <f>SUMPRODUCT((③労働時間!$A$5:$A$353=作業体系表!$B18)*(③労働時間!$B$5:$B$353="1月上旬")*(③労働時間!$J$5:$J$353))</f>
        <v>0</v>
      </c>
      <c r="E18" s="381">
        <f>SUMPRODUCT((③労働時間!$A$5:$A$353=作業体系表!$B18)*(③労働時間!$B$5:$B$353="1月中旬")*(③労働時間!$J$5:$J$353))</f>
        <v>0</v>
      </c>
      <c r="F18" s="381">
        <f>SUMPRODUCT((③労働時間!$A$5:$A$353=作業体系表!$B18)*(③労働時間!$B$5:$B$353="1月下旬")*(③労働時間!$J$5:$J$353))</f>
        <v>0</v>
      </c>
      <c r="G18" s="381">
        <f>SUMPRODUCT((③労働時間!$A$5:$A$353=作業体系表!$B18)*(③労働時間!$B$5:$B$353="2月上旬")*(③労働時間!$J$5:$J$353))</f>
        <v>0</v>
      </c>
      <c r="H18" s="381">
        <f>SUMPRODUCT((③労働時間!$A$5:$A$353=作業体系表!$B18)*(③労働時間!$B$5:$B$353="2月中旬")*(③労働時間!$J$5:$J$353))</f>
        <v>0</v>
      </c>
      <c r="I18" s="381">
        <f>SUMPRODUCT((③労働時間!$A$5:$A$353=作業体系表!$B18)*(③労働時間!$B$5:$B$353="2月下旬")*(③労働時間!$J$5:$J$353))</f>
        <v>0</v>
      </c>
      <c r="J18" s="381">
        <f>SUMPRODUCT((③労働時間!$A$5:$A$353=作業体系表!$B18)*(③労働時間!$B$5:$B$353="3月上旬")*(③労働時間!$J$5:$J$353))</f>
        <v>0</v>
      </c>
      <c r="K18" s="381">
        <f>SUMPRODUCT((③労働時間!$A$5:$A$353=作業体系表!$B18)*(③労働時間!$B$5:$B$353="3月中旬")*(③労働時間!$J$5:$J$353))</f>
        <v>0</v>
      </c>
      <c r="L18" s="381">
        <f>SUMPRODUCT((③労働時間!$A$5:$A$353=作業体系表!$B18)*(③労働時間!$B$5:$B$353="3月下旬")*(③労働時間!$J$5:$J$353))</f>
        <v>0</v>
      </c>
      <c r="M18" s="381">
        <f>SUMPRODUCT((③労働時間!$A$5:$A$353=作業体系表!$B18)*(③労働時間!$B$5:$B$353="4月上旬")*(③労働時間!$J$5:$J$353))</f>
        <v>0</v>
      </c>
      <c r="N18" s="381">
        <f>SUMPRODUCT((③労働時間!$A$5:$A$353=作業体系表!$B18)*(③労働時間!$B$5:$B$353="4月中旬")*(③労働時間!$J$5:$J$353))</f>
        <v>0</v>
      </c>
      <c r="O18" s="381">
        <f>SUMPRODUCT((③労働時間!$A$5:$A$353=作業体系表!$B18)*(③労働時間!$B$5:$B$353="4月下旬")*(③労働時間!$J$5:$J$353))</f>
        <v>0</v>
      </c>
      <c r="P18" s="382">
        <f>SUMPRODUCT((③労働時間!$A$5:$A$353=作業体系表!$B18)*(③労働時間!$B$5:$B$353="5月上旬")*(③労働時間!$J$5:$J$353))</f>
        <v>0</v>
      </c>
      <c r="Q18" s="381">
        <f>SUMPRODUCT((③労働時間!$A$5:$A$353=作業体系表!$B18)*(③労働時間!$B$5:$B$353="5月中旬")*(③労働時間!$J$5:$J$353))</f>
        <v>0</v>
      </c>
      <c r="R18" s="381">
        <f>SUMPRODUCT((③労働時間!$A$5:$A$353=作業体系表!$B18)*(③労働時間!$B$5:$B$353="5月下旬")*(③労働時間!$J$5:$J$353))</f>
        <v>0</v>
      </c>
      <c r="S18" s="381">
        <f>SUMPRODUCT((③労働時間!$A$5:$A$353=作業体系表!$B18)*(③労働時間!$B$5:$B$353="6月上旬")*(③労働時間!$J$5:$J$353))</f>
        <v>1.8037518037518039</v>
      </c>
      <c r="T18" s="381">
        <f>SUMPRODUCT((③労働時間!$A$5:$A$353=作業体系表!$B18)*(③労働時間!$B$5:$B$353="6月中旬")*(③労働時間!$J$5:$J$353))</f>
        <v>0</v>
      </c>
      <c r="U18" s="381">
        <f>SUMPRODUCT((③労働時間!$A$5:$A$353=作業体系表!$B18)*(③労働時間!$B$5:$B$353="6月下旬")*(③労働時間!$J$5:$J$353))</f>
        <v>0</v>
      </c>
      <c r="V18" s="381">
        <f>SUMPRODUCT((③労働時間!$A$5:$A$353=作業体系表!$B18)*(③労働時間!$B$5:$B$353="7月上旬")*(③労働時間!$J$5:$J$353))</f>
        <v>0</v>
      </c>
      <c r="W18" s="381">
        <f>SUMPRODUCT((③労働時間!$A$5:$A$353=作業体系表!$B18)*(③労働時間!$B$5:$B$353="7月中旬")*(③労働時間!$J$5:$J$353))</f>
        <v>0</v>
      </c>
      <c r="X18" s="381">
        <f>SUMPRODUCT((③労働時間!$A$5:$A$353=作業体系表!$B18)*(③労働時間!$B$5:$B$353="7月下旬")*(③労働時間!$J$5:$J$353))</f>
        <v>0</v>
      </c>
      <c r="Y18" s="381">
        <f>SUMPRODUCT((③労働時間!$A$5:$A$353=作業体系表!$B18)*(③労働時間!$B$5:$B$353="8月上旬")*(③労働時間!$J$5:$J$353))</f>
        <v>0</v>
      </c>
      <c r="Z18" s="381">
        <f>SUMPRODUCT((③労働時間!$A$5:$A$353=作業体系表!$B18)*(③労働時間!$B$5:$B$353="8月中旬")*(③労働時間!$J$5:$J$353))</f>
        <v>0</v>
      </c>
      <c r="AA18" s="381">
        <f>SUMPRODUCT((③労働時間!$A$5:$A$353=作業体系表!$B18)*(③労働時間!$B$5:$B$353="8月下旬")*(③労働時間!$J$5:$J$353))</f>
        <v>0</v>
      </c>
      <c r="AB18" s="382">
        <f>SUMPRODUCT((③労働時間!$A$5:$A$353=作業体系表!$B18)*(③労働時間!$B$5:$B$353="9月上旬")*(③労働時間!$J$5:$J$353))</f>
        <v>0</v>
      </c>
      <c r="AC18" s="381">
        <f>SUMPRODUCT((③労働時間!$A$5:$A$353=作業体系表!$B18)*(③労働時間!$B$5:$B$353="9月中旬")*(③労働時間!$J$5:$J$353))</f>
        <v>0</v>
      </c>
      <c r="AD18" s="381">
        <f>SUMPRODUCT((③労働時間!$A$5:$A$353=作業体系表!$B18)*(③労働時間!$B$5:$B$353="9月下旬")*(③労働時間!$J$5:$J$353))</f>
        <v>0</v>
      </c>
      <c r="AE18" s="381">
        <f>SUMPRODUCT((③労働時間!$A$5:$A$353=作業体系表!$B18)*(③労働時間!$B$5:$B$353="10月上旬")*(③労働時間!$J$5:$J$353))</f>
        <v>0</v>
      </c>
      <c r="AF18" s="381">
        <f>SUMPRODUCT((③労働時間!$A$5:$A$353=作業体系表!$B18)*(③労働時間!$B$5:$B$353="10月中旬")*(③労働時間!$J$5:$J$353))</f>
        <v>0</v>
      </c>
      <c r="AG18" s="381">
        <f>SUMPRODUCT((③労働時間!$A$5:$A$353=作業体系表!$B18)*(③労働時間!$B$5:$B$353="10月下旬")*(③労働時間!$J$5:$J$353))</f>
        <v>0</v>
      </c>
      <c r="AH18" s="381">
        <f>SUMPRODUCT((③労働時間!$A$5:$A$353=作業体系表!$B18)*(③労働時間!$B$5:$B$353="11月上旬")*(③労働時間!$J$5:$J$353))</f>
        <v>0</v>
      </c>
      <c r="AI18" s="381">
        <f>SUMPRODUCT((③労働時間!$A$5:$A$353=作業体系表!$B18)*(③労働時間!$B$5:$B$353="11月中旬")*(③労働時間!$J$5:$J$353))</f>
        <v>0</v>
      </c>
      <c r="AJ18" s="381">
        <f>SUMPRODUCT((③労働時間!$A$5:$A$353=作業体系表!$B18)*(③労働時間!$B$5:$B$353="11月下旬")*(③労働時間!$J$5:$J$353))</f>
        <v>0</v>
      </c>
      <c r="AK18" s="381">
        <f>SUMPRODUCT((③労働時間!$A$5:$A$353=作業体系表!$B18)*(③労働時間!$B$5:$B$353="12月上旬")*(③労働時間!$J$5:$J$353))</f>
        <v>0</v>
      </c>
      <c r="AL18" s="381">
        <f>SUMPRODUCT((③労働時間!$A$5:$A$353=作業体系表!$B18)*(③労働時間!$B$5:$B$353="12月中旬")*(③労働時間!$J$5:$J$353))</f>
        <v>0</v>
      </c>
      <c r="AM18" s="383">
        <f>SUMPRODUCT((③労働時間!$A$5:$A$353=作業体系表!$B18)*(③労働時間!$B$5:$B$353="12月下旬")*(③労働時間!$J$5:$J$353))</f>
        <v>0</v>
      </c>
      <c r="AN18" s="384">
        <f t="shared" si="0"/>
        <v>1.8037518037518039</v>
      </c>
    </row>
    <row r="19" spans="2:40" ht="15" customHeight="1">
      <c r="B19" s="705" t="str">
        <f>①技術体系!A16</f>
        <v>出荷</v>
      </c>
      <c r="C19" s="706"/>
      <c r="D19" s="381">
        <f>SUMPRODUCT((③労働時間!$A$5:$A$353=作業体系表!$B19)*(③労働時間!$B$5:$B$353="1月上旬")*(③労働時間!$J$5:$J$353))</f>
        <v>0</v>
      </c>
      <c r="E19" s="381">
        <f>SUMPRODUCT((③労働時間!$A$5:$A$353=作業体系表!$B19)*(③労働時間!$B$5:$B$353="1月中旬")*(③労働時間!$J$5:$J$353))</f>
        <v>0</v>
      </c>
      <c r="F19" s="381">
        <f>SUMPRODUCT((③労働時間!$A$5:$A$353=作業体系表!$B19)*(③労働時間!$B$5:$B$353="1月下旬")*(③労働時間!$J$5:$J$353))</f>
        <v>0</v>
      </c>
      <c r="G19" s="381">
        <f>SUMPRODUCT((③労働時間!$A$5:$A$353=作業体系表!$B19)*(③労働時間!$B$5:$B$353="2月上旬")*(③労働時間!$J$5:$J$353))</f>
        <v>0</v>
      </c>
      <c r="H19" s="381">
        <f>SUMPRODUCT((③労働時間!$A$5:$A$353=作業体系表!$B19)*(③労働時間!$B$5:$B$353="2月中旬")*(③労働時間!$J$5:$J$353))</f>
        <v>0</v>
      </c>
      <c r="I19" s="381">
        <f>SUMPRODUCT((③労働時間!$A$5:$A$353=作業体系表!$B19)*(③労働時間!$B$5:$B$353="2月下旬")*(③労働時間!$J$5:$J$353))</f>
        <v>0</v>
      </c>
      <c r="J19" s="381">
        <f>SUMPRODUCT((③労働時間!$A$5:$A$353=作業体系表!$B19)*(③労働時間!$B$5:$B$353="3月上旬")*(③労働時間!$J$5:$J$353))</f>
        <v>0</v>
      </c>
      <c r="K19" s="381">
        <f>SUMPRODUCT((③労働時間!$A$5:$A$353=作業体系表!$B19)*(③労働時間!$B$5:$B$353="3月中旬")*(③労働時間!$J$5:$J$353))</f>
        <v>0</v>
      </c>
      <c r="L19" s="381">
        <f>SUMPRODUCT((③労働時間!$A$5:$A$353=作業体系表!$B19)*(③労働時間!$B$5:$B$353="3月下旬")*(③労働時間!$J$5:$J$353))</f>
        <v>0</v>
      </c>
      <c r="M19" s="381">
        <f>SUMPRODUCT((③労働時間!$A$5:$A$353=作業体系表!$B19)*(③労働時間!$B$5:$B$353="4月上旬")*(③労働時間!$J$5:$J$353))</f>
        <v>0</v>
      </c>
      <c r="N19" s="381">
        <f>SUMPRODUCT((③労働時間!$A$5:$A$353=作業体系表!$B19)*(③労働時間!$B$5:$B$353="4月中旬")*(③労働時間!$J$5:$J$353))</f>
        <v>0</v>
      </c>
      <c r="O19" s="381">
        <f>SUMPRODUCT((③労働時間!$A$5:$A$353=作業体系表!$B19)*(③労働時間!$B$5:$B$353="4月下旬")*(③労働時間!$J$5:$J$353))</f>
        <v>0</v>
      </c>
      <c r="P19" s="382">
        <f>SUMPRODUCT((③労働時間!$A$5:$A$353=作業体系表!$B19)*(③労働時間!$B$5:$B$353="5月上旬")*(③労働時間!$J$5:$J$353))</f>
        <v>0</v>
      </c>
      <c r="Q19" s="381">
        <f>SUMPRODUCT((③労働時間!$A$5:$A$353=作業体系表!$B19)*(③労働時間!$B$5:$B$353="5月中旬")*(③労働時間!$J$5:$J$353))</f>
        <v>0</v>
      </c>
      <c r="R19" s="381">
        <f>SUMPRODUCT((③労働時間!$A$5:$A$353=作業体系表!$B19)*(③労働時間!$B$5:$B$353="5月下旬")*(③労働時間!$J$5:$J$353))</f>
        <v>0</v>
      </c>
      <c r="S19" s="381">
        <f>SUMPRODUCT((③労働時間!$A$5:$A$353=作業体系表!$B19)*(③労働時間!$B$5:$B$353="6月上旬")*(③労働時間!$J$5:$J$353))</f>
        <v>0.4</v>
      </c>
      <c r="T19" s="381">
        <f>SUMPRODUCT((③労働時間!$A$5:$A$353=作業体系表!$B19)*(③労働時間!$B$5:$B$353="6月中旬")*(③労働時間!$J$5:$J$353))</f>
        <v>0</v>
      </c>
      <c r="U19" s="381">
        <f>SUMPRODUCT((③労働時間!$A$5:$A$353=作業体系表!$B19)*(③労働時間!$B$5:$B$353="6月下旬")*(③労働時間!$J$5:$J$353))</f>
        <v>0</v>
      </c>
      <c r="V19" s="381">
        <f>SUMPRODUCT((③労働時間!$A$5:$A$353=作業体系表!$B19)*(③労働時間!$B$5:$B$353="7月上旬")*(③労働時間!$J$5:$J$353))</f>
        <v>0</v>
      </c>
      <c r="W19" s="381">
        <f>SUMPRODUCT((③労働時間!$A$5:$A$353=作業体系表!$B19)*(③労働時間!$B$5:$B$353="7月中旬")*(③労働時間!$J$5:$J$353))</f>
        <v>0</v>
      </c>
      <c r="X19" s="381">
        <f>SUMPRODUCT((③労働時間!$A$5:$A$353=作業体系表!$B19)*(③労働時間!$B$5:$B$353="7月下旬")*(③労働時間!$J$5:$J$353))</f>
        <v>0</v>
      </c>
      <c r="Y19" s="381">
        <f>SUMPRODUCT((③労働時間!$A$5:$A$353=作業体系表!$B19)*(③労働時間!$B$5:$B$353="8月上旬")*(③労働時間!$J$5:$J$353))</f>
        <v>0</v>
      </c>
      <c r="Z19" s="381">
        <f>SUMPRODUCT((③労働時間!$A$5:$A$353=作業体系表!$B19)*(③労働時間!$B$5:$B$353="8月中旬")*(③労働時間!$J$5:$J$353))</f>
        <v>0</v>
      </c>
      <c r="AA19" s="381">
        <f>SUMPRODUCT((③労働時間!$A$5:$A$353=作業体系表!$B19)*(③労働時間!$B$5:$B$353="8月下旬")*(③労働時間!$J$5:$J$353))</f>
        <v>0</v>
      </c>
      <c r="AB19" s="382">
        <f>SUMPRODUCT((③労働時間!$A$5:$A$353=作業体系表!$B19)*(③労働時間!$B$5:$B$353="9月上旬")*(③労働時間!$J$5:$J$353))</f>
        <v>0</v>
      </c>
      <c r="AC19" s="381">
        <f>SUMPRODUCT((③労働時間!$A$5:$A$353=作業体系表!$B19)*(③労働時間!$B$5:$B$353="9月中旬")*(③労働時間!$J$5:$J$353))</f>
        <v>0</v>
      </c>
      <c r="AD19" s="381">
        <f>SUMPRODUCT((③労働時間!$A$5:$A$353=作業体系表!$B19)*(③労働時間!$B$5:$B$353="9月下旬")*(③労働時間!$J$5:$J$353))</f>
        <v>0</v>
      </c>
      <c r="AE19" s="381">
        <f>SUMPRODUCT((③労働時間!$A$5:$A$353=作業体系表!$B19)*(③労働時間!$B$5:$B$353="10月上旬")*(③労働時間!$J$5:$J$353))</f>
        <v>0</v>
      </c>
      <c r="AF19" s="381">
        <f>SUMPRODUCT((③労働時間!$A$5:$A$353=作業体系表!$B19)*(③労働時間!$B$5:$B$353="10月中旬")*(③労働時間!$J$5:$J$353))</f>
        <v>0</v>
      </c>
      <c r="AG19" s="381">
        <f>SUMPRODUCT((③労働時間!$A$5:$A$353=作業体系表!$B19)*(③労働時間!$B$5:$B$353="10月下旬")*(③労働時間!$J$5:$J$353))</f>
        <v>0</v>
      </c>
      <c r="AH19" s="381">
        <f>SUMPRODUCT((③労働時間!$A$5:$A$353=作業体系表!$B19)*(③労働時間!$B$5:$B$353="11月上旬")*(③労働時間!$J$5:$J$353))</f>
        <v>0</v>
      </c>
      <c r="AI19" s="381">
        <f>SUMPRODUCT((③労働時間!$A$5:$A$353=作業体系表!$B19)*(③労働時間!$B$5:$B$353="11月中旬")*(③労働時間!$J$5:$J$353))</f>
        <v>0</v>
      </c>
      <c r="AJ19" s="381">
        <f>SUMPRODUCT((③労働時間!$A$5:$A$353=作業体系表!$B19)*(③労働時間!$B$5:$B$353="11月下旬")*(③労働時間!$J$5:$J$353))</f>
        <v>0</v>
      </c>
      <c r="AK19" s="381">
        <f>SUMPRODUCT((③労働時間!$A$5:$A$353=作業体系表!$B19)*(③労働時間!$B$5:$B$353="12月上旬")*(③労働時間!$J$5:$J$353))</f>
        <v>0</v>
      </c>
      <c r="AL19" s="381">
        <f>SUMPRODUCT((③労働時間!$A$5:$A$353=作業体系表!$B19)*(③労働時間!$B$5:$B$353="12月中旬")*(③労働時間!$J$5:$J$353))</f>
        <v>0</v>
      </c>
      <c r="AM19" s="383">
        <f>SUMPRODUCT((③労働時間!$A$5:$A$353=作業体系表!$B19)*(③労働時間!$B$5:$B$353="12月下旬")*(③労働時間!$J$5:$J$353))</f>
        <v>0</v>
      </c>
      <c r="AN19" s="384">
        <f t="shared" si="0"/>
        <v>0.4</v>
      </c>
    </row>
    <row r="20" spans="2:40" ht="15" customHeight="1">
      <c r="B20" s="705" t="str">
        <f>①技術体系!A17</f>
        <v>排水対策</v>
      </c>
      <c r="C20" s="706"/>
      <c r="D20" s="381">
        <f>SUMPRODUCT((③労働時間!$A$5:$A$353=作業体系表!$B20)*(③労働時間!$B$5:$B$353="1月上旬")*(③労働時間!$J$5:$J$353))</f>
        <v>0</v>
      </c>
      <c r="E20" s="381">
        <f>SUMPRODUCT((③労働時間!$A$5:$A$353=作業体系表!$B20)*(③労働時間!$B$5:$B$353="1月中旬")*(③労働時間!$J$5:$J$353))</f>
        <v>0</v>
      </c>
      <c r="F20" s="381">
        <f>SUMPRODUCT((③労働時間!$A$5:$A$353=作業体系表!$B20)*(③労働時間!$B$5:$B$353="1月下旬")*(③労働時間!$J$5:$J$353))</f>
        <v>0</v>
      </c>
      <c r="G20" s="381">
        <f>SUMPRODUCT((③労働時間!$A$5:$A$353=作業体系表!$B20)*(③労働時間!$B$5:$B$353="2月上旬")*(③労働時間!$J$5:$J$353))</f>
        <v>0</v>
      </c>
      <c r="H20" s="381">
        <f>SUMPRODUCT((③労働時間!$A$5:$A$353=作業体系表!$B20)*(③労働時間!$B$5:$B$353="2月中旬")*(③労働時間!$J$5:$J$353))</f>
        <v>0</v>
      </c>
      <c r="I20" s="381">
        <f>SUMPRODUCT((③労働時間!$A$5:$A$353=作業体系表!$B20)*(③労働時間!$B$5:$B$353="2月下旬")*(③労働時間!$J$5:$J$353))</f>
        <v>0</v>
      </c>
      <c r="J20" s="381">
        <f>SUMPRODUCT((③労働時間!$A$5:$A$353=作業体系表!$B20)*(③労働時間!$B$5:$B$353="3月上旬")*(③労働時間!$J$5:$J$353))</f>
        <v>0</v>
      </c>
      <c r="K20" s="381">
        <f>SUMPRODUCT((③労働時間!$A$5:$A$353=作業体系表!$B20)*(③労働時間!$B$5:$B$353="3月中旬")*(③労働時間!$J$5:$J$353))</f>
        <v>0</v>
      </c>
      <c r="L20" s="381">
        <f>SUMPRODUCT((③労働時間!$A$5:$A$353=作業体系表!$B20)*(③労働時間!$B$5:$B$353="3月下旬")*(③労働時間!$J$5:$J$353))</f>
        <v>0</v>
      </c>
      <c r="M20" s="381">
        <f>SUMPRODUCT((③労働時間!$A$5:$A$353=作業体系表!$B20)*(③労働時間!$B$5:$B$353="4月上旬")*(③労働時間!$J$5:$J$353))</f>
        <v>0</v>
      </c>
      <c r="N20" s="381">
        <f>SUMPRODUCT((③労働時間!$A$5:$A$353=作業体系表!$B20)*(③労働時間!$B$5:$B$353="4月中旬")*(③労働時間!$J$5:$J$353))</f>
        <v>0</v>
      </c>
      <c r="O20" s="381">
        <f>SUMPRODUCT((③労働時間!$A$5:$A$353=作業体系表!$B20)*(③労働時間!$B$5:$B$353="4月下旬")*(③労働時間!$J$5:$J$353))</f>
        <v>0</v>
      </c>
      <c r="P20" s="382">
        <f>SUMPRODUCT((③労働時間!$A$5:$A$353=作業体系表!$B20)*(③労働時間!$B$5:$B$353="5月上旬")*(③労働時間!$J$5:$J$353))</f>
        <v>0</v>
      </c>
      <c r="Q20" s="381">
        <f>SUMPRODUCT((③労働時間!$A$5:$A$353=作業体系表!$B20)*(③労働時間!$B$5:$B$353="5月中旬")*(③労働時間!$J$5:$J$353))</f>
        <v>0</v>
      </c>
      <c r="R20" s="381">
        <f>SUMPRODUCT((③労働時間!$A$5:$A$353=作業体系表!$B20)*(③労働時間!$B$5:$B$353="5月下旬")*(③労働時間!$J$5:$J$353))</f>
        <v>0</v>
      </c>
      <c r="S20" s="381">
        <f>SUMPRODUCT((③労働時間!$A$5:$A$353=作業体系表!$B20)*(③労働時間!$B$5:$B$353="6月上旬")*(③労働時間!$J$5:$J$353))</f>
        <v>0</v>
      </c>
      <c r="T20" s="381">
        <f>SUMPRODUCT((③労働時間!$A$5:$A$353=作業体系表!$B20)*(③労働時間!$B$5:$B$353="6月中旬")*(③労働時間!$J$5:$J$353))</f>
        <v>0</v>
      </c>
      <c r="U20" s="381">
        <f>SUMPRODUCT((③労働時間!$A$5:$A$353=作業体系表!$B20)*(③労働時間!$B$5:$B$353="6月下旬")*(③労働時間!$J$5:$J$353))</f>
        <v>0</v>
      </c>
      <c r="V20" s="381">
        <f>SUMPRODUCT((③労働時間!$A$5:$A$353=作業体系表!$B20)*(③労働時間!$B$5:$B$353="7月上旬")*(③労働時間!$J$5:$J$353))</f>
        <v>0</v>
      </c>
      <c r="W20" s="381">
        <f>SUMPRODUCT((③労働時間!$A$5:$A$353=作業体系表!$B20)*(③労働時間!$B$5:$B$353="7月中旬")*(③労働時間!$J$5:$J$353))</f>
        <v>0</v>
      </c>
      <c r="X20" s="381">
        <f>SUMPRODUCT((③労働時間!$A$5:$A$353=作業体系表!$B20)*(③労働時間!$B$5:$B$353="7月下旬")*(③労働時間!$J$5:$J$353))</f>
        <v>0</v>
      </c>
      <c r="Y20" s="381">
        <f>SUMPRODUCT((③労働時間!$A$5:$A$353=作業体系表!$B20)*(③労働時間!$B$5:$B$353="8月上旬")*(③労働時間!$J$5:$J$353))</f>
        <v>0</v>
      </c>
      <c r="Z20" s="381">
        <f>SUMPRODUCT((③労働時間!$A$5:$A$353=作業体系表!$B20)*(③労働時間!$B$5:$B$353="8月中旬")*(③労働時間!$J$5:$J$353))</f>
        <v>0</v>
      </c>
      <c r="AA20" s="381">
        <f>SUMPRODUCT((③労働時間!$A$5:$A$353=作業体系表!$B20)*(③労働時間!$B$5:$B$353="8月下旬")*(③労働時間!$J$5:$J$353))</f>
        <v>0</v>
      </c>
      <c r="AB20" s="382">
        <f>SUMPRODUCT((③労働時間!$A$5:$A$353=作業体系表!$B20)*(③労働時間!$B$5:$B$353="9月上旬")*(③労働時間!$J$5:$J$353))</f>
        <v>0</v>
      </c>
      <c r="AC20" s="381">
        <f>SUMPRODUCT((③労働時間!$A$5:$A$353=作業体系表!$B20)*(③労働時間!$B$5:$B$353="9月中旬")*(③労働時間!$J$5:$J$353))</f>
        <v>0</v>
      </c>
      <c r="AD20" s="381">
        <f>SUMPRODUCT((③労働時間!$A$5:$A$353=作業体系表!$B20)*(③労働時間!$B$5:$B$353="9月下旬")*(③労働時間!$J$5:$J$353))</f>
        <v>0</v>
      </c>
      <c r="AE20" s="381">
        <f>SUMPRODUCT((③労働時間!$A$5:$A$353=作業体系表!$B20)*(③労働時間!$B$5:$B$353="10月上旬")*(③労働時間!$J$5:$J$353))</f>
        <v>0</v>
      </c>
      <c r="AF20" s="381">
        <f>SUMPRODUCT((③労働時間!$A$5:$A$353=作業体系表!$B20)*(③労働時間!$B$5:$B$353="10月中旬")*(③労働時間!$J$5:$J$353))</f>
        <v>0</v>
      </c>
      <c r="AG20" s="381">
        <f>SUMPRODUCT((③労働時間!$A$5:$A$353=作業体系表!$B20)*(③労働時間!$B$5:$B$353="10月下旬")*(③労働時間!$J$5:$J$353))</f>
        <v>0.82379313574003854</v>
      </c>
      <c r="AH20" s="381">
        <f>SUMPRODUCT((③労働時間!$A$5:$A$353=作業体系表!$B20)*(③労働時間!$B$5:$B$353="11月上旬")*(③労働時間!$J$5:$J$353))</f>
        <v>0</v>
      </c>
      <c r="AI20" s="381">
        <f>SUMPRODUCT((③労働時間!$A$5:$A$353=作業体系表!$B20)*(③労働時間!$B$5:$B$353="11月中旬")*(③労働時間!$J$5:$J$353))</f>
        <v>0</v>
      </c>
      <c r="AJ20" s="381">
        <f>SUMPRODUCT((③労働時間!$A$5:$A$353=作業体系表!$B20)*(③労働時間!$B$5:$B$353="11月下旬")*(③労働時間!$J$5:$J$353))</f>
        <v>0</v>
      </c>
      <c r="AK20" s="381">
        <f>SUMPRODUCT((③労働時間!$A$5:$A$353=作業体系表!$B20)*(③労働時間!$B$5:$B$353="12月上旬")*(③労働時間!$J$5:$J$353))</f>
        <v>0</v>
      </c>
      <c r="AL20" s="381">
        <f>SUMPRODUCT((③労働時間!$A$5:$A$353=作業体系表!$B20)*(③労働時間!$B$5:$B$353="12月中旬")*(③労働時間!$J$5:$J$353))</f>
        <v>0</v>
      </c>
      <c r="AM20" s="383">
        <f>SUMPRODUCT((③労働時間!$A$5:$A$353=作業体系表!$B20)*(③労働時間!$B$5:$B$353="12月下旬")*(③労働時間!$J$5:$J$353))</f>
        <v>0</v>
      </c>
      <c r="AN20" s="384">
        <f t="shared" si="0"/>
        <v>0.82379313574003854</v>
      </c>
    </row>
    <row r="21" spans="2:40" ht="15" customHeight="1">
      <c r="B21" s="705">
        <f>①技術体系!A18</f>
        <v>0</v>
      </c>
      <c r="C21" s="706"/>
      <c r="D21" s="381">
        <f>SUMPRODUCT((③労働時間!$A$5:$A$353=作業体系表!$B21)*(③労働時間!$B$5:$B$353="1月上旬")*(③労働時間!$J$5:$J$353))</f>
        <v>0</v>
      </c>
      <c r="E21" s="381">
        <f>SUMPRODUCT((③労働時間!$A$5:$A$353=作業体系表!$B21)*(③労働時間!$B$5:$B$353="1月中旬")*(③労働時間!$J$5:$J$353))</f>
        <v>0</v>
      </c>
      <c r="F21" s="381">
        <f>SUMPRODUCT((③労働時間!$A$5:$A$353=作業体系表!$B21)*(③労働時間!$B$5:$B$353="1月下旬")*(③労働時間!$J$5:$J$353))</f>
        <v>0</v>
      </c>
      <c r="G21" s="381">
        <f>SUMPRODUCT((③労働時間!$A$5:$A$353=作業体系表!$B21)*(③労働時間!$B$5:$B$353="2月上旬")*(③労働時間!$J$5:$J$353))</f>
        <v>0</v>
      </c>
      <c r="H21" s="381">
        <f>SUMPRODUCT((③労働時間!$A$5:$A$353=作業体系表!$B21)*(③労働時間!$B$5:$B$353="2月中旬")*(③労働時間!$J$5:$J$353))</f>
        <v>0</v>
      </c>
      <c r="I21" s="381">
        <f>SUMPRODUCT((③労働時間!$A$5:$A$353=作業体系表!$B21)*(③労働時間!$B$5:$B$353="2月下旬")*(③労働時間!$J$5:$J$353))</f>
        <v>0</v>
      </c>
      <c r="J21" s="381">
        <f>SUMPRODUCT((③労働時間!$A$5:$A$353=作業体系表!$B21)*(③労働時間!$B$5:$B$353="3月上旬")*(③労働時間!$J$5:$J$353))</f>
        <v>0</v>
      </c>
      <c r="K21" s="381">
        <f>SUMPRODUCT((③労働時間!$A$5:$A$353=作業体系表!$B21)*(③労働時間!$B$5:$B$353="3月中旬")*(③労働時間!$J$5:$J$353))</f>
        <v>0</v>
      </c>
      <c r="L21" s="381">
        <f>SUMPRODUCT((③労働時間!$A$5:$A$353=作業体系表!$B21)*(③労働時間!$B$5:$B$353="3月下旬")*(③労働時間!$J$5:$J$353))</f>
        <v>0</v>
      </c>
      <c r="M21" s="381">
        <f>SUMPRODUCT((③労働時間!$A$5:$A$353=作業体系表!$B21)*(③労働時間!$B$5:$B$353="4月上旬")*(③労働時間!$J$5:$J$353))</f>
        <v>0</v>
      </c>
      <c r="N21" s="381">
        <f>SUMPRODUCT((③労働時間!$A$5:$A$353=作業体系表!$B21)*(③労働時間!$B$5:$B$353="4月中旬")*(③労働時間!$J$5:$J$353))</f>
        <v>0</v>
      </c>
      <c r="O21" s="381">
        <f>SUMPRODUCT((③労働時間!$A$5:$A$353=作業体系表!$B21)*(③労働時間!$B$5:$B$353="4月下旬")*(③労働時間!$J$5:$J$353))</f>
        <v>0</v>
      </c>
      <c r="P21" s="382">
        <f>SUMPRODUCT((③労働時間!$A$5:$A$353=作業体系表!$B21)*(③労働時間!$B$5:$B$353="5月上旬")*(③労働時間!$J$5:$J$353))</f>
        <v>0</v>
      </c>
      <c r="Q21" s="381">
        <f>SUMPRODUCT((③労働時間!$A$5:$A$353=作業体系表!$B21)*(③労働時間!$B$5:$B$353="5月中旬")*(③労働時間!$J$5:$J$353))</f>
        <v>0</v>
      </c>
      <c r="R21" s="381">
        <f>SUMPRODUCT((③労働時間!$A$5:$A$353=作業体系表!$B21)*(③労働時間!$B$5:$B$353="5月下旬")*(③労働時間!$J$5:$J$353))</f>
        <v>0</v>
      </c>
      <c r="S21" s="381">
        <f>SUMPRODUCT((③労働時間!$A$5:$A$353=作業体系表!$B21)*(③労働時間!$B$5:$B$353="6月上旬")*(③労働時間!$J$5:$J$353))</f>
        <v>0</v>
      </c>
      <c r="T21" s="381">
        <f>SUMPRODUCT((③労働時間!$A$5:$A$353=作業体系表!$B21)*(③労働時間!$B$5:$B$353="6月中旬")*(③労働時間!$J$5:$J$353))</f>
        <v>0</v>
      </c>
      <c r="U21" s="381">
        <f>SUMPRODUCT((③労働時間!$A$5:$A$353=作業体系表!$B21)*(③労働時間!$B$5:$B$353="6月下旬")*(③労働時間!$J$5:$J$353))</f>
        <v>0</v>
      </c>
      <c r="V21" s="381">
        <f>SUMPRODUCT((③労働時間!$A$5:$A$353=作業体系表!$B21)*(③労働時間!$B$5:$B$353="7月上旬")*(③労働時間!$J$5:$J$353))</f>
        <v>0</v>
      </c>
      <c r="W21" s="381">
        <f>SUMPRODUCT((③労働時間!$A$5:$A$353=作業体系表!$B21)*(③労働時間!$B$5:$B$353="7月中旬")*(③労働時間!$J$5:$J$353))</f>
        <v>0</v>
      </c>
      <c r="X21" s="381">
        <f>SUMPRODUCT((③労働時間!$A$5:$A$353=作業体系表!$B21)*(③労働時間!$B$5:$B$353="7月下旬")*(③労働時間!$J$5:$J$353))</f>
        <v>0</v>
      </c>
      <c r="Y21" s="381">
        <f>SUMPRODUCT((③労働時間!$A$5:$A$353=作業体系表!$B21)*(③労働時間!$B$5:$B$353="8月上旬")*(③労働時間!$J$5:$J$353))</f>
        <v>0</v>
      </c>
      <c r="Z21" s="381">
        <f>SUMPRODUCT((③労働時間!$A$5:$A$353=作業体系表!$B21)*(③労働時間!$B$5:$B$353="8月中旬")*(③労働時間!$J$5:$J$353))</f>
        <v>0</v>
      </c>
      <c r="AA21" s="381">
        <f>SUMPRODUCT((③労働時間!$A$5:$A$353=作業体系表!$B21)*(③労働時間!$B$5:$B$353="8月下旬")*(③労働時間!$J$5:$J$353))</f>
        <v>0</v>
      </c>
      <c r="AB21" s="382">
        <f>SUMPRODUCT((③労働時間!$A$5:$A$353=作業体系表!$B21)*(③労働時間!$B$5:$B$353="9月上旬")*(③労働時間!$J$5:$J$353))</f>
        <v>0</v>
      </c>
      <c r="AC21" s="381">
        <f>SUMPRODUCT((③労働時間!$A$5:$A$353=作業体系表!$B21)*(③労働時間!$B$5:$B$353="9月中旬")*(③労働時間!$J$5:$J$353))</f>
        <v>0</v>
      </c>
      <c r="AD21" s="381">
        <f>SUMPRODUCT((③労働時間!$A$5:$A$353=作業体系表!$B21)*(③労働時間!$B$5:$B$353="9月下旬")*(③労働時間!$J$5:$J$353))</f>
        <v>0</v>
      </c>
      <c r="AE21" s="381">
        <f>SUMPRODUCT((③労働時間!$A$5:$A$353=作業体系表!$B21)*(③労働時間!$B$5:$B$353="10月上旬")*(③労働時間!$J$5:$J$353))</f>
        <v>0</v>
      </c>
      <c r="AF21" s="381">
        <f>SUMPRODUCT((③労働時間!$A$5:$A$353=作業体系表!$B21)*(③労働時間!$B$5:$B$353="10月中旬")*(③労働時間!$J$5:$J$353))</f>
        <v>0</v>
      </c>
      <c r="AG21" s="381">
        <f>SUMPRODUCT((③労働時間!$A$5:$A$353=作業体系表!$B21)*(③労働時間!$B$5:$B$353="10月下旬")*(③労働時間!$J$5:$J$353))</f>
        <v>0</v>
      </c>
      <c r="AH21" s="381">
        <f>SUMPRODUCT((③労働時間!$A$5:$A$353=作業体系表!$B21)*(③労働時間!$B$5:$B$353="11月上旬")*(③労働時間!$J$5:$J$353))</f>
        <v>0</v>
      </c>
      <c r="AI21" s="381">
        <f>SUMPRODUCT((③労働時間!$A$5:$A$353=作業体系表!$B21)*(③労働時間!$B$5:$B$353="11月中旬")*(③労働時間!$J$5:$J$353))</f>
        <v>0</v>
      </c>
      <c r="AJ21" s="381">
        <f>SUMPRODUCT((③労働時間!$A$5:$A$353=作業体系表!$B21)*(③労働時間!$B$5:$B$353="11月下旬")*(③労働時間!$J$5:$J$353))</f>
        <v>0</v>
      </c>
      <c r="AK21" s="381">
        <f>SUMPRODUCT((③労働時間!$A$5:$A$353=作業体系表!$B21)*(③労働時間!$B$5:$B$353="12月上旬")*(③労働時間!$J$5:$J$353))</f>
        <v>0</v>
      </c>
      <c r="AL21" s="381">
        <f>SUMPRODUCT((③労働時間!$A$5:$A$353=作業体系表!$B21)*(③労働時間!$B$5:$B$353="12月中旬")*(③労働時間!$J$5:$J$353))</f>
        <v>0</v>
      </c>
      <c r="AM21" s="383">
        <f>SUMPRODUCT((③労働時間!$A$5:$A$353=作業体系表!$B21)*(③労働時間!$B$5:$B$353="12月下旬")*(③労働時間!$J$5:$J$353))</f>
        <v>0</v>
      </c>
      <c r="AN21" s="384">
        <f t="shared" si="0"/>
        <v>0</v>
      </c>
    </row>
    <row r="22" spans="2:40" ht="15" customHeight="1">
      <c r="B22" s="705">
        <f>①技術体系!A19</f>
        <v>0</v>
      </c>
      <c r="C22" s="706"/>
      <c r="D22" s="381">
        <f>SUMPRODUCT((③労働時間!$A$5:$A$353=作業体系表!$B22)*(③労働時間!$B$5:$B$353="1月上旬")*(③労働時間!$J$5:$J$353))</f>
        <v>0</v>
      </c>
      <c r="E22" s="381">
        <f>SUMPRODUCT((③労働時間!$A$5:$A$353=作業体系表!$B22)*(③労働時間!$B$5:$B$353="1月中旬")*(③労働時間!$J$5:$J$353))</f>
        <v>0</v>
      </c>
      <c r="F22" s="381">
        <f>SUMPRODUCT((③労働時間!$A$5:$A$353=作業体系表!$B22)*(③労働時間!$B$5:$B$353="1月下旬")*(③労働時間!$J$5:$J$353))</f>
        <v>0</v>
      </c>
      <c r="G22" s="381">
        <f>SUMPRODUCT((③労働時間!$A$5:$A$353=作業体系表!$B22)*(③労働時間!$B$5:$B$353="2月上旬")*(③労働時間!$J$5:$J$353))</f>
        <v>0</v>
      </c>
      <c r="H22" s="381">
        <f>SUMPRODUCT((③労働時間!$A$5:$A$353=作業体系表!$B22)*(③労働時間!$B$5:$B$353="2月中旬")*(③労働時間!$J$5:$J$353))</f>
        <v>0</v>
      </c>
      <c r="I22" s="381">
        <f>SUMPRODUCT((③労働時間!$A$5:$A$353=作業体系表!$B22)*(③労働時間!$B$5:$B$353="2月下旬")*(③労働時間!$J$5:$J$353))</f>
        <v>0</v>
      </c>
      <c r="J22" s="381">
        <f>SUMPRODUCT((③労働時間!$A$5:$A$353=作業体系表!$B22)*(③労働時間!$B$5:$B$353="3月上旬")*(③労働時間!$J$5:$J$353))</f>
        <v>0</v>
      </c>
      <c r="K22" s="381">
        <f>SUMPRODUCT((③労働時間!$A$5:$A$353=作業体系表!$B22)*(③労働時間!$B$5:$B$353="3月中旬")*(③労働時間!$J$5:$J$353))</f>
        <v>0</v>
      </c>
      <c r="L22" s="381">
        <f>SUMPRODUCT((③労働時間!$A$5:$A$353=作業体系表!$B22)*(③労働時間!$B$5:$B$353="3月下旬")*(③労働時間!$J$5:$J$353))</f>
        <v>0</v>
      </c>
      <c r="M22" s="381">
        <f>SUMPRODUCT((③労働時間!$A$5:$A$353=作業体系表!$B22)*(③労働時間!$B$5:$B$353="4月上旬")*(③労働時間!$J$5:$J$353))</f>
        <v>0</v>
      </c>
      <c r="N22" s="381">
        <f>SUMPRODUCT((③労働時間!$A$5:$A$353=作業体系表!$B22)*(③労働時間!$B$5:$B$353="4月中旬")*(③労働時間!$J$5:$J$353))</f>
        <v>0</v>
      </c>
      <c r="O22" s="381">
        <f>SUMPRODUCT((③労働時間!$A$5:$A$353=作業体系表!$B22)*(③労働時間!$B$5:$B$353="4月下旬")*(③労働時間!$J$5:$J$353))</f>
        <v>0</v>
      </c>
      <c r="P22" s="382">
        <f>SUMPRODUCT((③労働時間!$A$5:$A$353=作業体系表!$B22)*(③労働時間!$B$5:$B$353="5月上旬")*(③労働時間!$J$5:$J$353))</f>
        <v>0</v>
      </c>
      <c r="Q22" s="381">
        <f>SUMPRODUCT((③労働時間!$A$5:$A$353=作業体系表!$B22)*(③労働時間!$B$5:$B$353="5月中旬")*(③労働時間!$J$5:$J$353))</f>
        <v>0</v>
      </c>
      <c r="R22" s="381">
        <f>SUMPRODUCT((③労働時間!$A$5:$A$353=作業体系表!$B22)*(③労働時間!$B$5:$B$353="5月下旬")*(③労働時間!$J$5:$J$353))</f>
        <v>0</v>
      </c>
      <c r="S22" s="381">
        <f>SUMPRODUCT((③労働時間!$A$5:$A$353=作業体系表!$B22)*(③労働時間!$B$5:$B$353="6月上旬")*(③労働時間!$J$5:$J$353))</f>
        <v>0</v>
      </c>
      <c r="T22" s="381">
        <f>SUMPRODUCT((③労働時間!$A$5:$A$353=作業体系表!$B22)*(③労働時間!$B$5:$B$353="6月中旬")*(③労働時間!$J$5:$J$353))</f>
        <v>0</v>
      </c>
      <c r="U22" s="381">
        <f>SUMPRODUCT((③労働時間!$A$5:$A$353=作業体系表!$B22)*(③労働時間!$B$5:$B$353="6月下旬")*(③労働時間!$J$5:$J$353))</f>
        <v>0</v>
      </c>
      <c r="V22" s="381">
        <f>SUMPRODUCT((③労働時間!$A$5:$A$353=作業体系表!$B22)*(③労働時間!$B$5:$B$353="7月上旬")*(③労働時間!$J$5:$J$353))</f>
        <v>0</v>
      </c>
      <c r="W22" s="381">
        <f>SUMPRODUCT((③労働時間!$A$5:$A$353=作業体系表!$B22)*(③労働時間!$B$5:$B$353="7月中旬")*(③労働時間!$J$5:$J$353))</f>
        <v>0</v>
      </c>
      <c r="X22" s="381">
        <f>SUMPRODUCT((③労働時間!$A$5:$A$353=作業体系表!$B22)*(③労働時間!$B$5:$B$353="7月下旬")*(③労働時間!$J$5:$J$353))</f>
        <v>0</v>
      </c>
      <c r="Y22" s="381">
        <f>SUMPRODUCT((③労働時間!$A$5:$A$353=作業体系表!$B22)*(③労働時間!$B$5:$B$353="8月上旬")*(③労働時間!$J$5:$J$353))</f>
        <v>0</v>
      </c>
      <c r="Z22" s="381">
        <f>SUMPRODUCT((③労働時間!$A$5:$A$353=作業体系表!$B22)*(③労働時間!$B$5:$B$353="8月中旬")*(③労働時間!$J$5:$J$353))</f>
        <v>0</v>
      </c>
      <c r="AA22" s="381">
        <f>SUMPRODUCT((③労働時間!$A$5:$A$353=作業体系表!$B22)*(③労働時間!$B$5:$B$353="8月下旬")*(③労働時間!$J$5:$J$353))</f>
        <v>0</v>
      </c>
      <c r="AB22" s="382">
        <f>SUMPRODUCT((③労働時間!$A$5:$A$353=作業体系表!$B22)*(③労働時間!$B$5:$B$353="9月上旬")*(③労働時間!$J$5:$J$353))</f>
        <v>0</v>
      </c>
      <c r="AC22" s="381">
        <f>SUMPRODUCT((③労働時間!$A$5:$A$353=作業体系表!$B22)*(③労働時間!$B$5:$B$353="9月中旬")*(③労働時間!$J$5:$J$353))</f>
        <v>0</v>
      </c>
      <c r="AD22" s="381">
        <f>SUMPRODUCT((③労働時間!$A$5:$A$353=作業体系表!$B22)*(③労働時間!$B$5:$B$353="9月下旬")*(③労働時間!$J$5:$J$353))</f>
        <v>0</v>
      </c>
      <c r="AE22" s="381">
        <f>SUMPRODUCT((③労働時間!$A$5:$A$353=作業体系表!$B22)*(③労働時間!$B$5:$B$353="10月上旬")*(③労働時間!$J$5:$J$353))</f>
        <v>0</v>
      </c>
      <c r="AF22" s="381">
        <f>SUMPRODUCT((③労働時間!$A$5:$A$353=作業体系表!$B22)*(③労働時間!$B$5:$B$353="10月中旬")*(③労働時間!$J$5:$J$353))</f>
        <v>0</v>
      </c>
      <c r="AG22" s="381">
        <f>SUMPRODUCT((③労働時間!$A$5:$A$353=作業体系表!$B22)*(③労働時間!$B$5:$B$353="10月下旬")*(③労働時間!$J$5:$J$353))</f>
        <v>0</v>
      </c>
      <c r="AH22" s="381">
        <f>SUMPRODUCT((③労働時間!$A$5:$A$353=作業体系表!$B22)*(③労働時間!$B$5:$B$353="11月上旬")*(③労働時間!$J$5:$J$353))</f>
        <v>0</v>
      </c>
      <c r="AI22" s="381">
        <f>SUMPRODUCT((③労働時間!$A$5:$A$353=作業体系表!$B22)*(③労働時間!$B$5:$B$353="11月中旬")*(③労働時間!$J$5:$J$353))</f>
        <v>0</v>
      </c>
      <c r="AJ22" s="381">
        <f>SUMPRODUCT((③労働時間!$A$5:$A$353=作業体系表!$B22)*(③労働時間!$B$5:$B$353="11月下旬")*(③労働時間!$J$5:$J$353))</f>
        <v>0</v>
      </c>
      <c r="AK22" s="381">
        <f>SUMPRODUCT((③労働時間!$A$5:$A$353=作業体系表!$B22)*(③労働時間!$B$5:$B$353="12月上旬")*(③労働時間!$J$5:$J$353))</f>
        <v>0</v>
      </c>
      <c r="AL22" s="381">
        <f>SUMPRODUCT((③労働時間!$A$5:$A$353=作業体系表!$B22)*(③労働時間!$B$5:$B$353="12月中旬")*(③労働時間!$J$5:$J$353))</f>
        <v>0</v>
      </c>
      <c r="AM22" s="383">
        <f>SUMPRODUCT((③労働時間!$A$5:$A$353=作業体系表!$B22)*(③労働時間!$B$5:$B$353="12月下旬")*(③労働時間!$J$5:$J$353))</f>
        <v>0</v>
      </c>
      <c r="AN22" s="384">
        <f t="shared" si="0"/>
        <v>0</v>
      </c>
    </row>
    <row r="23" spans="2:40" ht="15" customHeight="1">
      <c r="B23" s="705">
        <f>①技術体系!A20</f>
        <v>0</v>
      </c>
      <c r="C23" s="706"/>
      <c r="D23" s="381">
        <f>SUMPRODUCT((③労働時間!$A$5:$A$353=作業体系表!$B23)*(③労働時間!$B$5:$B$353="1月上旬")*(③労働時間!$J$5:$J$353))</f>
        <v>0</v>
      </c>
      <c r="E23" s="381">
        <f>SUMPRODUCT((③労働時間!$A$5:$A$353=作業体系表!$B23)*(③労働時間!$B$5:$B$353="1月中旬")*(③労働時間!$J$5:$J$353))</f>
        <v>0</v>
      </c>
      <c r="F23" s="381">
        <f>SUMPRODUCT((③労働時間!$A$5:$A$353=作業体系表!$B23)*(③労働時間!$B$5:$B$353="1月下旬")*(③労働時間!$J$5:$J$353))</f>
        <v>0</v>
      </c>
      <c r="G23" s="381">
        <f>SUMPRODUCT((③労働時間!$A$5:$A$353=作業体系表!$B23)*(③労働時間!$B$5:$B$353="2月上旬")*(③労働時間!$J$5:$J$353))</f>
        <v>0</v>
      </c>
      <c r="H23" s="381">
        <f>SUMPRODUCT((③労働時間!$A$5:$A$353=作業体系表!$B23)*(③労働時間!$B$5:$B$353="2月中旬")*(③労働時間!$J$5:$J$353))</f>
        <v>0</v>
      </c>
      <c r="I23" s="381">
        <f>SUMPRODUCT((③労働時間!$A$5:$A$353=作業体系表!$B23)*(③労働時間!$B$5:$B$353="2月下旬")*(③労働時間!$J$5:$J$353))</f>
        <v>0</v>
      </c>
      <c r="J23" s="381">
        <f>SUMPRODUCT((③労働時間!$A$5:$A$353=作業体系表!$B23)*(③労働時間!$B$5:$B$353="3月上旬")*(③労働時間!$J$5:$J$353))</f>
        <v>0</v>
      </c>
      <c r="K23" s="381">
        <f>SUMPRODUCT((③労働時間!$A$5:$A$353=作業体系表!$B23)*(③労働時間!$B$5:$B$353="3月中旬")*(③労働時間!$J$5:$J$353))</f>
        <v>0</v>
      </c>
      <c r="L23" s="381">
        <f>SUMPRODUCT((③労働時間!$A$5:$A$353=作業体系表!$B23)*(③労働時間!$B$5:$B$353="3月下旬")*(③労働時間!$J$5:$J$353))</f>
        <v>0</v>
      </c>
      <c r="M23" s="381">
        <f>SUMPRODUCT((③労働時間!$A$5:$A$353=作業体系表!$B23)*(③労働時間!$B$5:$B$353="4月上旬")*(③労働時間!$J$5:$J$353))</f>
        <v>0</v>
      </c>
      <c r="N23" s="381">
        <f>SUMPRODUCT((③労働時間!$A$5:$A$353=作業体系表!$B23)*(③労働時間!$B$5:$B$353="4月中旬")*(③労働時間!$J$5:$J$353))</f>
        <v>0</v>
      </c>
      <c r="O23" s="381">
        <f>SUMPRODUCT((③労働時間!$A$5:$A$353=作業体系表!$B23)*(③労働時間!$B$5:$B$353="4月下旬")*(③労働時間!$J$5:$J$353))</f>
        <v>0</v>
      </c>
      <c r="P23" s="382">
        <f>SUMPRODUCT((③労働時間!$A$5:$A$353=作業体系表!$B23)*(③労働時間!$B$5:$B$353="5月上旬")*(③労働時間!$J$5:$J$353))</f>
        <v>0</v>
      </c>
      <c r="Q23" s="381">
        <f>SUMPRODUCT((③労働時間!$A$5:$A$353=作業体系表!$B23)*(③労働時間!$B$5:$B$353="5月中旬")*(③労働時間!$J$5:$J$353))</f>
        <v>0</v>
      </c>
      <c r="R23" s="381">
        <f>SUMPRODUCT((③労働時間!$A$5:$A$353=作業体系表!$B23)*(③労働時間!$B$5:$B$353="5月下旬")*(③労働時間!$J$5:$J$353))</f>
        <v>0</v>
      </c>
      <c r="S23" s="381">
        <f>SUMPRODUCT((③労働時間!$A$5:$A$353=作業体系表!$B23)*(③労働時間!$B$5:$B$353="6月上旬")*(③労働時間!$J$5:$J$353))</f>
        <v>0</v>
      </c>
      <c r="T23" s="381">
        <f>SUMPRODUCT((③労働時間!$A$5:$A$353=作業体系表!$B23)*(③労働時間!$B$5:$B$353="6月中旬")*(③労働時間!$J$5:$J$353))</f>
        <v>0</v>
      </c>
      <c r="U23" s="381">
        <f>SUMPRODUCT((③労働時間!$A$5:$A$353=作業体系表!$B23)*(③労働時間!$B$5:$B$353="6月下旬")*(③労働時間!$J$5:$J$353))</f>
        <v>0</v>
      </c>
      <c r="V23" s="381">
        <f>SUMPRODUCT((③労働時間!$A$5:$A$353=作業体系表!$B23)*(③労働時間!$B$5:$B$353="7月上旬")*(③労働時間!$J$5:$J$353))</f>
        <v>0</v>
      </c>
      <c r="W23" s="381">
        <f>SUMPRODUCT((③労働時間!$A$5:$A$353=作業体系表!$B23)*(③労働時間!$B$5:$B$353="7月中旬")*(③労働時間!$J$5:$J$353))</f>
        <v>0</v>
      </c>
      <c r="X23" s="381">
        <f>SUMPRODUCT((③労働時間!$A$5:$A$353=作業体系表!$B23)*(③労働時間!$B$5:$B$353="7月下旬")*(③労働時間!$J$5:$J$353))</f>
        <v>0</v>
      </c>
      <c r="Y23" s="381">
        <f>SUMPRODUCT((③労働時間!$A$5:$A$353=作業体系表!$B23)*(③労働時間!$B$5:$B$353="8月上旬")*(③労働時間!$J$5:$J$353))</f>
        <v>0</v>
      </c>
      <c r="Z23" s="381">
        <f>SUMPRODUCT((③労働時間!$A$5:$A$353=作業体系表!$B23)*(③労働時間!$B$5:$B$353="8月中旬")*(③労働時間!$J$5:$J$353))</f>
        <v>0</v>
      </c>
      <c r="AA23" s="381">
        <f>SUMPRODUCT((③労働時間!$A$5:$A$353=作業体系表!$B23)*(③労働時間!$B$5:$B$353="8月下旬")*(③労働時間!$J$5:$J$353))</f>
        <v>0</v>
      </c>
      <c r="AB23" s="382">
        <f>SUMPRODUCT((③労働時間!$A$5:$A$353=作業体系表!$B23)*(③労働時間!$B$5:$B$353="9月上旬")*(③労働時間!$J$5:$J$353))</f>
        <v>0</v>
      </c>
      <c r="AC23" s="381">
        <f>SUMPRODUCT((③労働時間!$A$5:$A$353=作業体系表!$B23)*(③労働時間!$B$5:$B$353="9月中旬")*(③労働時間!$J$5:$J$353))</f>
        <v>0</v>
      </c>
      <c r="AD23" s="381">
        <f>SUMPRODUCT((③労働時間!$A$5:$A$353=作業体系表!$B23)*(③労働時間!$B$5:$B$353="9月下旬")*(③労働時間!$J$5:$J$353))</f>
        <v>0</v>
      </c>
      <c r="AE23" s="381">
        <f>SUMPRODUCT((③労働時間!$A$5:$A$353=作業体系表!$B23)*(③労働時間!$B$5:$B$353="10月上旬")*(③労働時間!$J$5:$J$353))</f>
        <v>0</v>
      </c>
      <c r="AF23" s="381">
        <f>SUMPRODUCT((③労働時間!$A$5:$A$353=作業体系表!$B23)*(③労働時間!$B$5:$B$353="10月中旬")*(③労働時間!$J$5:$J$353))</f>
        <v>0</v>
      </c>
      <c r="AG23" s="381">
        <f>SUMPRODUCT((③労働時間!$A$5:$A$353=作業体系表!$B23)*(③労働時間!$B$5:$B$353="10月下旬")*(③労働時間!$J$5:$J$353))</f>
        <v>0</v>
      </c>
      <c r="AH23" s="381">
        <f>SUMPRODUCT((③労働時間!$A$5:$A$353=作業体系表!$B23)*(③労働時間!$B$5:$B$353="11月上旬")*(③労働時間!$J$5:$J$353))</f>
        <v>0</v>
      </c>
      <c r="AI23" s="381">
        <f>SUMPRODUCT((③労働時間!$A$5:$A$353=作業体系表!$B23)*(③労働時間!$B$5:$B$353="11月中旬")*(③労働時間!$J$5:$J$353))</f>
        <v>0</v>
      </c>
      <c r="AJ23" s="381">
        <f>SUMPRODUCT((③労働時間!$A$5:$A$353=作業体系表!$B23)*(③労働時間!$B$5:$B$353="11月下旬")*(③労働時間!$J$5:$J$353))</f>
        <v>0</v>
      </c>
      <c r="AK23" s="381">
        <f>SUMPRODUCT((③労働時間!$A$5:$A$353=作業体系表!$B23)*(③労働時間!$B$5:$B$353="12月上旬")*(③労働時間!$J$5:$J$353))</f>
        <v>0</v>
      </c>
      <c r="AL23" s="381">
        <f>SUMPRODUCT((③労働時間!$A$5:$A$353=作業体系表!$B23)*(③労働時間!$B$5:$B$353="12月中旬")*(③労働時間!$J$5:$J$353))</f>
        <v>0</v>
      </c>
      <c r="AM23" s="383">
        <f>SUMPRODUCT((③労働時間!$A$5:$A$353=作業体系表!$B23)*(③労働時間!$B$5:$B$353="12月下旬")*(③労働時間!$J$5:$J$353))</f>
        <v>0</v>
      </c>
      <c r="AN23" s="384">
        <f t="shared" si="0"/>
        <v>0</v>
      </c>
    </row>
    <row r="24" spans="2:40" ht="15" customHeight="1">
      <c r="B24" s="705">
        <f>①技術体系!A21</f>
        <v>0</v>
      </c>
      <c r="C24" s="706"/>
      <c r="D24" s="381">
        <f>SUMPRODUCT((③労働時間!$A$5:$A$353=作業体系表!$B24)*(③労働時間!$B$5:$B$353="1月上旬")*(③労働時間!$J$5:$J$353))</f>
        <v>0</v>
      </c>
      <c r="E24" s="381">
        <f>SUMPRODUCT((③労働時間!$A$5:$A$353=作業体系表!$B24)*(③労働時間!$B$5:$B$353="1月中旬")*(③労働時間!$J$5:$J$353))</f>
        <v>0</v>
      </c>
      <c r="F24" s="381">
        <f>SUMPRODUCT((③労働時間!$A$5:$A$353=作業体系表!$B24)*(③労働時間!$B$5:$B$353="1月下旬")*(③労働時間!$J$5:$J$353))</f>
        <v>0</v>
      </c>
      <c r="G24" s="381">
        <f>SUMPRODUCT((③労働時間!$A$5:$A$353=作業体系表!$B24)*(③労働時間!$B$5:$B$353="2月上旬")*(③労働時間!$J$5:$J$353))</f>
        <v>0</v>
      </c>
      <c r="H24" s="381">
        <f>SUMPRODUCT((③労働時間!$A$5:$A$353=作業体系表!$B24)*(③労働時間!$B$5:$B$353="2月中旬")*(③労働時間!$J$5:$J$353))</f>
        <v>0</v>
      </c>
      <c r="I24" s="381">
        <f>SUMPRODUCT((③労働時間!$A$5:$A$353=作業体系表!$B24)*(③労働時間!$B$5:$B$353="2月下旬")*(③労働時間!$J$5:$J$353))</f>
        <v>0</v>
      </c>
      <c r="J24" s="381">
        <f>SUMPRODUCT((③労働時間!$A$5:$A$353=作業体系表!$B24)*(③労働時間!$B$5:$B$353="3月上旬")*(③労働時間!$J$5:$J$353))</f>
        <v>0</v>
      </c>
      <c r="K24" s="381">
        <f>SUMPRODUCT((③労働時間!$A$5:$A$353=作業体系表!$B24)*(③労働時間!$B$5:$B$353="3月中旬")*(③労働時間!$J$5:$J$353))</f>
        <v>0</v>
      </c>
      <c r="L24" s="381">
        <f>SUMPRODUCT((③労働時間!$A$5:$A$353=作業体系表!$B24)*(③労働時間!$B$5:$B$353="3月下旬")*(③労働時間!$J$5:$J$353))</f>
        <v>0</v>
      </c>
      <c r="M24" s="381">
        <f>SUMPRODUCT((③労働時間!$A$5:$A$353=作業体系表!$B24)*(③労働時間!$B$5:$B$353="4月上旬")*(③労働時間!$J$5:$J$353))</f>
        <v>0</v>
      </c>
      <c r="N24" s="381">
        <f>SUMPRODUCT((③労働時間!$A$5:$A$353=作業体系表!$B24)*(③労働時間!$B$5:$B$353="4月中旬")*(③労働時間!$J$5:$J$353))</f>
        <v>0</v>
      </c>
      <c r="O24" s="381">
        <f>SUMPRODUCT((③労働時間!$A$5:$A$353=作業体系表!$B24)*(③労働時間!$B$5:$B$353="4月下旬")*(③労働時間!$J$5:$J$353))</f>
        <v>0</v>
      </c>
      <c r="P24" s="382">
        <f>SUMPRODUCT((③労働時間!$A$5:$A$353=作業体系表!$B24)*(③労働時間!$B$5:$B$353="5月上旬")*(③労働時間!$J$5:$J$353))</f>
        <v>0</v>
      </c>
      <c r="Q24" s="381">
        <f>SUMPRODUCT((③労働時間!$A$5:$A$353=作業体系表!$B24)*(③労働時間!$B$5:$B$353="5月中旬")*(③労働時間!$J$5:$J$353))</f>
        <v>0</v>
      </c>
      <c r="R24" s="381">
        <f>SUMPRODUCT((③労働時間!$A$5:$A$353=作業体系表!$B24)*(③労働時間!$B$5:$B$353="5月下旬")*(③労働時間!$J$5:$J$353))</f>
        <v>0</v>
      </c>
      <c r="S24" s="381">
        <f>SUMPRODUCT((③労働時間!$A$5:$A$353=作業体系表!$B24)*(③労働時間!$B$5:$B$353="6月上旬")*(③労働時間!$J$5:$J$353))</f>
        <v>0</v>
      </c>
      <c r="T24" s="381">
        <f>SUMPRODUCT((③労働時間!$A$5:$A$353=作業体系表!$B24)*(③労働時間!$B$5:$B$353="6月中旬")*(③労働時間!$J$5:$J$353))</f>
        <v>0</v>
      </c>
      <c r="U24" s="381">
        <f>SUMPRODUCT((③労働時間!$A$5:$A$353=作業体系表!$B24)*(③労働時間!$B$5:$B$353="6月下旬")*(③労働時間!$J$5:$J$353))</f>
        <v>0</v>
      </c>
      <c r="V24" s="381">
        <f>SUMPRODUCT((③労働時間!$A$5:$A$353=作業体系表!$B24)*(③労働時間!$B$5:$B$353="7月上旬")*(③労働時間!$J$5:$J$353))</f>
        <v>0</v>
      </c>
      <c r="W24" s="381">
        <f>SUMPRODUCT((③労働時間!$A$5:$A$353=作業体系表!$B24)*(③労働時間!$B$5:$B$353="7月中旬")*(③労働時間!$J$5:$J$353))</f>
        <v>0</v>
      </c>
      <c r="X24" s="381">
        <f>SUMPRODUCT((③労働時間!$A$5:$A$353=作業体系表!$B24)*(③労働時間!$B$5:$B$353="7月下旬")*(③労働時間!$J$5:$J$353))</f>
        <v>0</v>
      </c>
      <c r="Y24" s="381">
        <f>SUMPRODUCT((③労働時間!$A$5:$A$353=作業体系表!$B24)*(③労働時間!$B$5:$B$353="8月上旬")*(③労働時間!$J$5:$J$353))</f>
        <v>0</v>
      </c>
      <c r="Z24" s="381">
        <f>SUMPRODUCT((③労働時間!$A$5:$A$353=作業体系表!$B24)*(③労働時間!$B$5:$B$353="8月中旬")*(③労働時間!$J$5:$J$353))</f>
        <v>0</v>
      </c>
      <c r="AA24" s="381">
        <f>SUMPRODUCT((③労働時間!$A$5:$A$353=作業体系表!$B24)*(③労働時間!$B$5:$B$353="8月下旬")*(③労働時間!$J$5:$J$353))</f>
        <v>0</v>
      </c>
      <c r="AB24" s="382">
        <f>SUMPRODUCT((③労働時間!$A$5:$A$353=作業体系表!$B24)*(③労働時間!$B$5:$B$353="9月上旬")*(③労働時間!$J$5:$J$353))</f>
        <v>0</v>
      </c>
      <c r="AC24" s="381">
        <f>SUMPRODUCT((③労働時間!$A$5:$A$353=作業体系表!$B24)*(③労働時間!$B$5:$B$353="9月中旬")*(③労働時間!$J$5:$J$353))</f>
        <v>0</v>
      </c>
      <c r="AD24" s="381">
        <f>SUMPRODUCT((③労働時間!$A$5:$A$353=作業体系表!$B24)*(③労働時間!$B$5:$B$353="9月下旬")*(③労働時間!$J$5:$J$353))</f>
        <v>0</v>
      </c>
      <c r="AE24" s="381">
        <f>SUMPRODUCT((③労働時間!$A$5:$A$353=作業体系表!$B24)*(③労働時間!$B$5:$B$353="10月上旬")*(③労働時間!$J$5:$J$353))</f>
        <v>0</v>
      </c>
      <c r="AF24" s="381">
        <f>SUMPRODUCT((③労働時間!$A$5:$A$353=作業体系表!$B24)*(③労働時間!$B$5:$B$353="10月中旬")*(③労働時間!$J$5:$J$353))</f>
        <v>0</v>
      </c>
      <c r="AG24" s="381">
        <f>SUMPRODUCT((③労働時間!$A$5:$A$353=作業体系表!$B24)*(③労働時間!$B$5:$B$353="10月下旬")*(③労働時間!$J$5:$J$353))</f>
        <v>0</v>
      </c>
      <c r="AH24" s="381">
        <f>SUMPRODUCT((③労働時間!$A$5:$A$353=作業体系表!$B24)*(③労働時間!$B$5:$B$353="11月上旬")*(③労働時間!$J$5:$J$353))</f>
        <v>0</v>
      </c>
      <c r="AI24" s="381">
        <f>SUMPRODUCT((③労働時間!$A$5:$A$353=作業体系表!$B24)*(③労働時間!$B$5:$B$353="11月中旬")*(③労働時間!$J$5:$J$353))</f>
        <v>0</v>
      </c>
      <c r="AJ24" s="381">
        <f>SUMPRODUCT((③労働時間!$A$5:$A$353=作業体系表!$B24)*(③労働時間!$B$5:$B$353="11月下旬")*(③労働時間!$J$5:$J$353))</f>
        <v>0</v>
      </c>
      <c r="AK24" s="381">
        <f>SUMPRODUCT((③労働時間!$A$5:$A$353=作業体系表!$B24)*(③労働時間!$B$5:$B$353="12月上旬")*(③労働時間!$J$5:$J$353))</f>
        <v>0</v>
      </c>
      <c r="AL24" s="381">
        <f>SUMPRODUCT((③労働時間!$A$5:$A$353=作業体系表!$B24)*(③労働時間!$B$5:$B$353="12月中旬")*(③労働時間!$J$5:$J$353))</f>
        <v>0</v>
      </c>
      <c r="AM24" s="383">
        <f>SUMPRODUCT((③労働時間!$A$5:$A$353=作業体系表!$B24)*(③労働時間!$B$5:$B$353="12月下旬")*(③労働時間!$J$5:$J$353))</f>
        <v>0</v>
      </c>
      <c r="AN24" s="384">
        <f t="shared" si="0"/>
        <v>0</v>
      </c>
    </row>
    <row r="25" spans="2:40" ht="15" customHeight="1">
      <c r="B25" s="705">
        <f>①技術体系!A22</f>
        <v>0</v>
      </c>
      <c r="C25" s="706"/>
      <c r="D25" s="381">
        <f>SUMPRODUCT((③労働時間!$A$5:$A$353=作業体系表!$B25)*(③労働時間!$B$5:$B$353="1月上旬")*(③労働時間!$J$5:$J$353))</f>
        <v>0</v>
      </c>
      <c r="E25" s="381">
        <f>SUMPRODUCT((③労働時間!$A$5:$A$353=作業体系表!$B25)*(③労働時間!$B$5:$B$353="1月中旬")*(③労働時間!$J$5:$J$353))</f>
        <v>0</v>
      </c>
      <c r="F25" s="381">
        <f>SUMPRODUCT((③労働時間!$A$5:$A$353=作業体系表!$B25)*(③労働時間!$B$5:$B$353="1月下旬")*(③労働時間!$J$5:$J$353))</f>
        <v>0</v>
      </c>
      <c r="G25" s="381">
        <f>SUMPRODUCT((③労働時間!$A$5:$A$353=作業体系表!$B25)*(③労働時間!$B$5:$B$353="2月上旬")*(③労働時間!$J$5:$J$353))</f>
        <v>0</v>
      </c>
      <c r="H25" s="381">
        <f>SUMPRODUCT((③労働時間!$A$5:$A$353=作業体系表!$B25)*(③労働時間!$B$5:$B$353="2月中旬")*(③労働時間!$J$5:$J$353))</f>
        <v>0</v>
      </c>
      <c r="I25" s="381">
        <f>SUMPRODUCT((③労働時間!$A$5:$A$353=作業体系表!$B25)*(③労働時間!$B$5:$B$353="2月下旬")*(③労働時間!$J$5:$J$353))</f>
        <v>0</v>
      </c>
      <c r="J25" s="381">
        <f>SUMPRODUCT((③労働時間!$A$5:$A$353=作業体系表!$B25)*(③労働時間!$B$5:$B$353="3月上旬")*(③労働時間!$J$5:$J$353))</f>
        <v>0</v>
      </c>
      <c r="K25" s="381">
        <f>SUMPRODUCT((③労働時間!$A$5:$A$353=作業体系表!$B25)*(③労働時間!$B$5:$B$353="3月中旬")*(③労働時間!$J$5:$J$353))</f>
        <v>0</v>
      </c>
      <c r="L25" s="381">
        <f>SUMPRODUCT((③労働時間!$A$5:$A$353=作業体系表!$B25)*(③労働時間!$B$5:$B$353="3月下旬")*(③労働時間!$J$5:$J$353))</f>
        <v>0</v>
      </c>
      <c r="M25" s="381">
        <f>SUMPRODUCT((③労働時間!$A$5:$A$353=作業体系表!$B25)*(③労働時間!$B$5:$B$353="4月上旬")*(③労働時間!$J$5:$J$353))</f>
        <v>0</v>
      </c>
      <c r="N25" s="381">
        <f>SUMPRODUCT((③労働時間!$A$5:$A$353=作業体系表!$B25)*(③労働時間!$B$5:$B$353="4月中旬")*(③労働時間!$J$5:$J$353))</f>
        <v>0</v>
      </c>
      <c r="O25" s="381">
        <f>SUMPRODUCT((③労働時間!$A$5:$A$353=作業体系表!$B25)*(③労働時間!$B$5:$B$353="4月下旬")*(③労働時間!$J$5:$J$353))</f>
        <v>0</v>
      </c>
      <c r="P25" s="382">
        <f>SUMPRODUCT((③労働時間!$A$5:$A$353=作業体系表!$B25)*(③労働時間!$B$5:$B$353="5月上旬")*(③労働時間!$J$5:$J$353))</f>
        <v>0</v>
      </c>
      <c r="Q25" s="381">
        <f>SUMPRODUCT((③労働時間!$A$5:$A$353=作業体系表!$B25)*(③労働時間!$B$5:$B$353="5月中旬")*(③労働時間!$J$5:$J$353))</f>
        <v>0</v>
      </c>
      <c r="R25" s="381">
        <f>SUMPRODUCT((③労働時間!$A$5:$A$353=作業体系表!$B25)*(③労働時間!$B$5:$B$353="5月下旬")*(③労働時間!$J$5:$J$353))</f>
        <v>0</v>
      </c>
      <c r="S25" s="381">
        <f>SUMPRODUCT((③労働時間!$A$5:$A$353=作業体系表!$B25)*(③労働時間!$B$5:$B$353="6月上旬")*(③労働時間!$J$5:$J$353))</f>
        <v>0</v>
      </c>
      <c r="T25" s="381">
        <f>SUMPRODUCT((③労働時間!$A$5:$A$353=作業体系表!$B25)*(③労働時間!$B$5:$B$353="6月中旬")*(③労働時間!$J$5:$J$353))</f>
        <v>0</v>
      </c>
      <c r="U25" s="381">
        <f>SUMPRODUCT((③労働時間!$A$5:$A$353=作業体系表!$B25)*(③労働時間!$B$5:$B$353="6月下旬")*(③労働時間!$J$5:$J$353))</f>
        <v>0</v>
      </c>
      <c r="V25" s="381">
        <f>SUMPRODUCT((③労働時間!$A$5:$A$353=作業体系表!$B25)*(③労働時間!$B$5:$B$353="7月上旬")*(③労働時間!$J$5:$J$353))</f>
        <v>0</v>
      </c>
      <c r="W25" s="381">
        <f>SUMPRODUCT((③労働時間!$A$5:$A$353=作業体系表!$B25)*(③労働時間!$B$5:$B$353="7月中旬")*(③労働時間!$J$5:$J$353))</f>
        <v>0</v>
      </c>
      <c r="X25" s="381">
        <f>SUMPRODUCT((③労働時間!$A$5:$A$353=作業体系表!$B25)*(③労働時間!$B$5:$B$353="7月下旬")*(③労働時間!$J$5:$J$353))</f>
        <v>0</v>
      </c>
      <c r="Y25" s="381">
        <f>SUMPRODUCT((③労働時間!$A$5:$A$353=作業体系表!$B25)*(③労働時間!$B$5:$B$353="8月上旬")*(③労働時間!$J$5:$J$353))</f>
        <v>0</v>
      </c>
      <c r="Z25" s="381">
        <f>SUMPRODUCT((③労働時間!$A$5:$A$353=作業体系表!$B25)*(③労働時間!$B$5:$B$353="8月中旬")*(③労働時間!$J$5:$J$353))</f>
        <v>0</v>
      </c>
      <c r="AA25" s="381">
        <f>SUMPRODUCT((③労働時間!$A$5:$A$353=作業体系表!$B25)*(③労働時間!$B$5:$B$353="8月下旬")*(③労働時間!$J$5:$J$353))</f>
        <v>0</v>
      </c>
      <c r="AB25" s="382">
        <f>SUMPRODUCT((③労働時間!$A$5:$A$353=作業体系表!$B25)*(③労働時間!$B$5:$B$353="9月上旬")*(③労働時間!$J$5:$J$353))</f>
        <v>0</v>
      </c>
      <c r="AC25" s="381">
        <f>SUMPRODUCT((③労働時間!$A$5:$A$353=作業体系表!$B25)*(③労働時間!$B$5:$B$353="9月中旬")*(③労働時間!$J$5:$J$353))</f>
        <v>0</v>
      </c>
      <c r="AD25" s="381">
        <f>SUMPRODUCT((③労働時間!$A$5:$A$353=作業体系表!$B25)*(③労働時間!$B$5:$B$353="9月下旬")*(③労働時間!$J$5:$J$353))</f>
        <v>0</v>
      </c>
      <c r="AE25" s="381">
        <f>SUMPRODUCT((③労働時間!$A$5:$A$353=作業体系表!$B25)*(③労働時間!$B$5:$B$353="10月上旬")*(③労働時間!$J$5:$J$353))</f>
        <v>0</v>
      </c>
      <c r="AF25" s="381">
        <f>SUMPRODUCT((③労働時間!$A$5:$A$353=作業体系表!$B25)*(③労働時間!$B$5:$B$353="10月中旬")*(③労働時間!$J$5:$J$353))</f>
        <v>0</v>
      </c>
      <c r="AG25" s="381">
        <f>SUMPRODUCT((③労働時間!$A$5:$A$353=作業体系表!$B25)*(③労働時間!$B$5:$B$353="10月下旬")*(③労働時間!$J$5:$J$353))</f>
        <v>0</v>
      </c>
      <c r="AH25" s="381">
        <f>SUMPRODUCT((③労働時間!$A$5:$A$353=作業体系表!$B25)*(③労働時間!$B$5:$B$353="11月上旬")*(③労働時間!$J$5:$J$353))</f>
        <v>0</v>
      </c>
      <c r="AI25" s="381">
        <f>SUMPRODUCT((③労働時間!$A$5:$A$353=作業体系表!$B25)*(③労働時間!$B$5:$B$353="11月中旬")*(③労働時間!$J$5:$J$353))</f>
        <v>0</v>
      </c>
      <c r="AJ25" s="381">
        <f>SUMPRODUCT((③労働時間!$A$5:$A$353=作業体系表!$B25)*(③労働時間!$B$5:$B$353="11月下旬")*(③労働時間!$J$5:$J$353))</f>
        <v>0</v>
      </c>
      <c r="AK25" s="381">
        <f>SUMPRODUCT((③労働時間!$A$5:$A$353=作業体系表!$B25)*(③労働時間!$B$5:$B$353="12月上旬")*(③労働時間!$J$5:$J$353))</f>
        <v>0</v>
      </c>
      <c r="AL25" s="381">
        <f>SUMPRODUCT((③労働時間!$A$5:$A$353=作業体系表!$B25)*(③労働時間!$B$5:$B$353="12月中旬")*(③労働時間!$J$5:$J$353))</f>
        <v>0</v>
      </c>
      <c r="AM25" s="383">
        <f>SUMPRODUCT((③労働時間!$A$5:$A$353=作業体系表!$B25)*(③労働時間!$B$5:$B$353="12月下旬")*(③労働時間!$J$5:$J$353))</f>
        <v>0</v>
      </c>
      <c r="AN25" s="384">
        <f t="shared" si="0"/>
        <v>0</v>
      </c>
    </row>
    <row r="26" spans="2:40" ht="15" customHeight="1">
      <c r="B26" s="705">
        <f>①技術体系!A23</f>
        <v>0</v>
      </c>
      <c r="C26" s="706"/>
      <c r="D26" s="381">
        <f>SUMPRODUCT((③労働時間!$A$5:$A$353=作業体系表!$B26)*(③労働時間!$B$5:$B$353="1月上旬")*(③労働時間!$J$5:$J$353))</f>
        <v>0</v>
      </c>
      <c r="E26" s="381">
        <f>SUMPRODUCT((③労働時間!$A$5:$A$353=作業体系表!$B26)*(③労働時間!$B$5:$B$353="1月中旬")*(③労働時間!$J$5:$J$353))</f>
        <v>0</v>
      </c>
      <c r="F26" s="381">
        <f>SUMPRODUCT((③労働時間!$A$5:$A$353=作業体系表!$B26)*(③労働時間!$B$5:$B$353="1月下旬")*(③労働時間!$J$5:$J$353))</f>
        <v>0</v>
      </c>
      <c r="G26" s="381">
        <f>SUMPRODUCT((③労働時間!$A$5:$A$353=作業体系表!$B26)*(③労働時間!$B$5:$B$353="2月上旬")*(③労働時間!$J$5:$J$353))</f>
        <v>0</v>
      </c>
      <c r="H26" s="381">
        <f>SUMPRODUCT((③労働時間!$A$5:$A$353=作業体系表!$B26)*(③労働時間!$B$5:$B$353="2月中旬")*(③労働時間!$J$5:$J$353))</f>
        <v>0</v>
      </c>
      <c r="I26" s="381">
        <f>SUMPRODUCT((③労働時間!$A$5:$A$353=作業体系表!$B26)*(③労働時間!$B$5:$B$353="2月下旬")*(③労働時間!$J$5:$J$353))</f>
        <v>0</v>
      </c>
      <c r="J26" s="381">
        <f>SUMPRODUCT((③労働時間!$A$5:$A$353=作業体系表!$B26)*(③労働時間!$B$5:$B$353="3月上旬")*(③労働時間!$J$5:$J$353))</f>
        <v>0</v>
      </c>
      <c r="K26" s="381">
        <f>SUMPRODUCT((③労働時間!$A$5:$A$353=作業体系表!$B26)*(③労働時間!$B$5:$B$353="3月中旬")*(③労働時間!$J$5:$J$353))</f>
        <v>0</v>
      </c>
      <c r="L26" s="381">
        <f>SUMPRODUCT((③労働時間!$A$5:$A$353=作業体系表!$B26)*(③労働時間!$B$5:$B$353="3月下旬")*(③労働時間!$J$5:$J$353))</f>
        <v>0</v>
      </c>
      <c r="M26" s="381">
        <f>SUMPRODUCT((③労働時間!$A$5:$A$353=作業体系表!$B26)*(③労働時間!$B$5:$B$353="4月上旬")*(③労働時間!$J$5:$J$353))</f>
        <v>0</v>
      </c>
      <c r="N26" s="381">
        <f>SUMPRODUCT((③労働時間!$A$5:$A$353=作業体系表!$B26)*(③労働時間!$B$5:$B$353="4月中旬")*(③労働時間!$J$5:$J$353))</f>
        <v>0</v>
      </c>
      <c r="O26" s="381">
        <f>SUMPRODUCT((③労働時間!$A$5:$A$353=作業体系表!$B26)*(③労働時間!$B$5:$B$353="4月下旬")*(③労働時間!$J$5:$J$353))</f>
        <v>0</v>
      </c>
      <c r="P26" s="382">
        <f>SUMPRODUCT((③労働時間!$A$5:$A$353=作業体系表!$B26)*(③労働時間!$B$5:$B$353="5月上旬")*(③労働時間!$J$5:$J$353))</f>
        <v>0</v>
      </c>
      <c r="Q26" s="381">
        <f>SUMPRODUCT((③労働時間!$A$5:$A$353=作業体系表!$B26)*(③労働時間!$B$5:$B$353="5月中旬")*(③労働時間!$J$5:$J$353))</f>
        <v>0</v>
      </c>
      <c r="R26" s="381">
        <f>SUMPRODUCT((③労働時間!$A$5:$A$353=作業体系表!$B26)*(③労働時間!$B$5:$B$353="5月下旬")*(③労働時間!$J$5:$J$353))</f>
        <v>0</v>
      </c>
      <c r="S26" s="381">
        <f>SUMPRODUCT((③労働時間!$A$5:$A$353=作業体系表!$B26)*(③労働時間!$B$5:$B$353="6月上旬")*(③労働時間!$J$5:$J$353))</f>
        <v>0</v>
      </c>
      <c r="T26" s="381">
        <f>SUMPRODUCT((③労働時間!$A$5:$A$353=作業体系表!$B26)*(③労働時間!$B$5:$B$353="6月中旬")*(③労働時間!$J$5:$J$353))</f>
        <v>0</v>
      </c>
      <c r="U26" s="381">
        <f>SUMPRODUCT((③労働時間!$A$5:$A$353=作業体系表!$B26)*(③労働時間!$B$5:$B$353="6月下旬")*(③労働時間!$J$5:$J$353))</f>
        <v>0</v>
      </c>
      <c r="V26" s="381">
        <f>SUMPRODUCT((③労働時間!$A$5:$A$353=作業体系表!$B26)*(③労働時間!$B$5:$B$353="7月上旬")*(③労働時間!$J$5:$J$353))</f>
        <v>0</v>
      </c>
      <c r="W26" s="381">
        <f>SUMPRODUCT((③労働時間!$A$5:$A$353=作業体系表!$B26)*(③労働時間!$B$5:$B$353="7月中旬")*(③労働時間!$J$5:$J$353))</f>
        <v>0</v>
      </c>
      <c r="X26" s="381">
        <f>SUMPRODUCT((③労働時間!$A$5:$A$353=作業体系表!$B26)*(③労働時間!$B$5:$B$353="7月下旬")*(③労働時間!$J$5:$J$353))</f>
        <v>0</v>
      </c>
      <c r="Y26" s="381">
        <f>SUMPRODUCT((③労働時間!$A$5:$A$353=作業体系表!$B26)*(③労働時間!$B$5:$B$353="8月上旬")*(③労働時間!$J$5:$J$353))</f>
        <v>0</v>
      </c>
      <c r="Z26" s="381">
        <f>SUMPRODUCT((③労働時間!$A$5:$A$353=作業体系表!$B26)*(③労働時間!$B$5:$B$353="8月中旬")*(③労働時間!$J$5:$J$353))</f>
        <v>0</v>
      </c>
      <c r="AA26" s="381">
        <f>SUMPRODUCT((③労働時間!$A$5:$A$353=作業体系表!$B26)*(③労働時間!$B$5:$B$353="8月下旬")*(③労働時間!$J$5:$J$353))</f>
        <v>0</v>
      </c>
      <c r="AB26" s="382">
        <f>SUMPRODUCT((③労働時間!$A$5:$A$353=作業体系表!$B26)*(③労働時間!$B$5:$B$353="9月上旬")*(③労働時間!$J$5:$J$353))</f>
        <v>0</v>
      </c>
      <c r="AC26" s="381">
        <f>SUMPRODUCT((③労働時間!$A$5:$A$353=作業体系表!$B26)*(③労働時間!$B$5:$B$353="9月中旬")*(③労働時間!$J$5:$J$353))</f>
        <v>0</v>
      </c>
      <c r="AD26" s="381">
        <f>SUMPRODUCT((③労働時間!$A$5:$A$353=作業体系表!$B26)*(③労働時間!$B$5:$B$353="9月下旬")*(③労働時間!$J$5:$J$353))</f>
        <v>0</v>
      </c>
      <c r="AE26" s="381">
        <f>SUMPRODUCT((③労働時間!$A$5:$A$353=作業体系表!$B26)*(③労働時間!$B$5:$B$353="10月上旬")*(③労働時間!$J$5:$J$353))</f>
        <v>0</v>
      </c>
      <c r="AF26" s="381">
        <f>SUMPRODUCT((③労働時間!$A$5:$A$353=作業体系表!$B26)*(③労働時間!$B$5:$B$353="10月中旬")*(③労働時間!$J$5:$J$353))</f>
        <v>0</v>
      </c>
      <c r="AG26" s="381">
        <f>SUMPRODUCT((③労働時間!$A$5:$A$353=作業体系表!$B26)*(③労働時間!$B$5:$B$353="10月下旬")*(③労働時間!$J$5:$J$353))</f>
        <v>0</v>
      </c>
      <c r="AH26" s="381">
        <f>SUMPRODUCT((③労働時間!$A$5:$A$353=作業体系表!$B26)*(③労働時間!$B$5:$B$353="11月上旬")*(③労働時間!$J$5:$J$353))</f>
        <v>0</v>
      </c>
      <c r="AI26" s="381">
        <f>SUMPRODUCT((③労働時間!$A$5:$A$353=作業体系表!$B26)*(③労働時間!$B$5:$B$353="11月中旬")*(③労働時間!$J$5:$J$353))</f>
        <v>0</v>
      </c>
      <c r="AJ26" s="381">
        <f>SUMPRODUCT((③労働時間!$A$5:$A$353=作業体系表!$B26)*(③労働時間!$B$5:$B$353="11月下旬")*(③労働時間!$J$5:$J$353))</f>
        <v>0</v>
      </c>
      <c r="AK26" s="381">
        <f>SUMPRODUCT((③労働時間!$A$5:$A$353=作業体系表!$B26)*(③労働時間!$B$5:$B$353="12月上旬")*(③労働時間!$J$5:$J$353))</f>
        <v>0</v>
      </c>
      <c r="AL26" s="381">
        <f>SUMPRODUCT((③労働時間!$A$5:$A$353=作業体系表!$B26)*(③労働時間!$B$5:$B$353="12月中旬")*(③労働時間!$J$5:$J$353))</f>
        <v>0</v>
      </c>
      <c r="AM26" s="383">
        <f>SUMPRODUCT((③労働時間!$A$5:$A$353=作業体系表!$B26)*(③労働時間!$B$5:$B$353="12月下旬")*(③労働時間!$J$5:$J$353))</f>
        <v>0</v>
      </c>
      <c r="AN26" s="384">
        <f t="shared" si="0"/>
        <v>0</v>
      </c>
    </row>
    <row r="27" spans="2:40" ht="15" customHeight="1">
      <c r="B27" s="705">
        <f>①技術体系!A24</f>
        <v>0</v>
      </c>
      <c r="C27" s="706"/>
      <c r="D27" s="381">
        <f>SUMPRODUCT((③労働時間!$A$5:$A$353=作業体系表!$B27)*(③労働時間!$B$5:$B$353="1月上旬")*(③労働時間!$J$5:$J$353))</f>
        <v>0</v>
      </c>
      <c r="E27" s="381">
        <f>SUMPRODUCT((③労働時間!$A$5:$A$353=作業体系表!$B27)*(③労働時間!$B$5:$B$353="1月中旬")*(③労働時間!$J$5:$J$353))</f>
        <v>0</v>
      </c>
      <c r="F27" s="381">
        <f>SUMPRODUCT((③労働時間!$A$5:$A$353=作業体系表!$B27)*(③労働時間!$B$5:$B$353="1月下旬")*(③労働時間!$J$5:$J$353))</f>
        <v>0</v>
      </c>
      <c r="G27" s="381">
        <f>SUMPRODUCT((③労働時間!$A$5:$A$353=作業体系表!$B27)*(③労働時間!$B$5:$B$353="2月上旬")*(③労働時間!$J$5:$J$353))</f>
        <v>0</v>
      </c>
      <c r="H27" s="381">
        <f>SUMPRODUCT((③労働時間!$A$5:$A$353=作業体系表!$B27)*(③労働時間!$B$5:$B$353="2月中旬")*(③労働時間!$J$5:$J$353))</f>
        <v>0</v>
      </c>
      <c r="I27" s="381">
        <f>SUMPRODUCT((③労働時間!$A$5:$A$353=作業体系表!$B27)*(③労働時間!$B$5:$B$353="2月下旬")*(③労働時間!$J$5:$J$353))</f>
        <v>0</v>
      </c>
      <c r="J27" s="381">
        <f>SUMPRODUCT((③労働時間!$A$5:$A$353=作業体系表!$B27)*(③労働時間!$B$5:$B$353="3月上旬")*(③労働時間!$J$5:$J$353))</f>
        <v>0</v>
      </c>
      <c r="K27" s="381">
        <f>SUMPRODUCT((③労働時間!$A$5:$A$353=作業体系表!$B27)*(③労働時間!$B$5:$B$353="3月中旬")*(③労働時間!$J$5:$J$353))</f>
        <v>0</v>
      </c>
      <c r="L27" s="381">
        <f>SUMPRODUCT((③労働時間!$A$5:$A$353=作業体系表!$B27)*(③労働時間!$B$5:$B$353="3月下旬")*(③労働時間!$J$5:$J$353))</f>
        <v>0</v>
      </c>
      <c r="M27" s="381">
        <f>SUMPRODUCT((③労働時間!$A$5:$A$353=作業体系表!$B27)*(③労働時間!$B$5:$B$353="4月上旬")*(③労働時間!$J$5:$J$353))</f>
        <v>0</v>
      </c>
      <c r="N27" s="381">
        <f>SUMPRODUCT((③労働時間!$A$5:$A$353=作業体系表!$B27)*(③労働時間!$B$5:$B$353="4月中旬")*(③労働時間!$J$5:$J$353))</f>
        <v>0</v>
      </c>
      <c r="O27" s="381">
        <f>SUMPRODUCT((③労働時間!$A$5:$A$353=作業体系表!$B27)*(③労働時間!$B$5:$B$353="4月下旬")*(③労働時間!$J$5:$J$353))</f>
        <v>0</v>
      </c>
      <c r="P27" s="382">
        <f>SUMPRODUCT((③労働時間!$A$5:$A$353=作業体系表!$B27)*(③労働時間!$B$5:$B$353="5月上旬")*(③労働時間!$J$5:$J$353))</f>
        <v>0</v>
      </c>
      <c r="Q27" s="381">
        <f>SUMPRODUCT((③労働時間!$A$5:$A$353=作業体系表!$B27)*(③労働時間!$B$5:$B$353="5月中旬")*(③労働時間!$J$5:$J$353))</f>
        <v>0</v>
      </c>
      <c r="R27" s="381">
        <f>SUMPRODUCT((③労働時間!$A$5:$A$353=作業体系表!$B27)*(③労働時間!$B$5:$B$353="5月下旬")*(③労働時間!$J$5:$J$353))</f>
        <v>0</v>
      </c>
      <c r="S27" s="381">
        <f>SUMPRODUCT((③労働時間!$A$5:$A$353=作業体系表!$B27)*(③労働時間!$B$5:$B$353="6月上旬")*(③労働時間!$J$5:$J$353))</f>
        <v>0</v>
      </c>
      <c r="T27" s="381">
        <f>SUMPRODUCT((③労働時間!$A$5:$A$353=作業体系表!$B27)*(③労働時間!$B$5:$B$353="6月中旬")*(③労働時間!$J$5:$J$353))</f>
        <v>0</v>
      </c>
      <c r="U27" s="381">
        <f>SUMPRODUCT((③労働時間!$A$5:$A$353=作業体系表!$B27)*(③労働時間!$B$5:$B$353="6月下旬")*(③労働時間!$J$5:$J$353))</f>
        <v>0</v>
      </c>
      <c r="V27" s="381">
        <f>SUMPRODUCT((③労働時間!$A$5:$A$353=作業体系表!$B27)*(③労働時間!$B$5:$B$353="7月上旬")*(③労働時間!$J$5:$J$353))</f>
        <v>0</v>
      </c>
      <c r="W27" s="381">
        <f>SUMPRODUCT((③労働時間!$A$5:$A$353=作業体系表!$B27)*(③労働時間!$B$5:$B$353="7月中旬")*(③労働時間!$J$5:$J$353))</f>
        <v>0</v>
      </c>
      <c r="X27" s="381">
        <f>SUMPRODUCT((③労働時間!$A$5:$A$353=作業体系表!$B27)*(③労働時間!$B$5:$B$353="7月下旬")*(③労働時間!$J$5:$J$353))</f>
        <v>0</v>
      </c>
      <c r="Y27" s="381">
        <f>SUMPRODUCT((③労働時間!$A$5:$A$353=作業体系表!$B27)*(③労働時間!$B$5:$B$353="8月上旬")*(③労働時間!$J$5:$J$353))</f>
        <v>0</v>
      </c>
      <c r="Z27" s="381">
        <f>SUMPRODUCT((③労働時間!$A$5:$A$353=作業体系表!$B27)*(③労働時間!$B$5:$B$353="8月中旬")*(③労働時間!$J$5:$J$353))</f>
        <v>0</v>
      </c>
      <c r="AA27" s="381">
        <f>SUMPRODUCT((③労働時間!$A$5:$A$353=作業体系表!$B27)*(③労働時間!$B$5:$B$353="8月下旬")*(③労働時間!$J$5:$J$353))</f>
        <v>0</v>
      </c>
      <c r="AB27" s="382">
        <f>SUMPRODUCT((③労働時間!$A$5:$A$353=作業体系表!$B27)*(③労働時間!$B$5:$B$353="9月上旬")*(③労働時間!$J$5:$J$353))</f>
        <v>0</v>
      </c>
      <c r="AC27" s="381">
        <f>SUMPRODUCT((③労働時間!$A$5:$A$353=作業体系表!$B27)*(③労働時間!$B$5:$B$353="9月中旬")*(③労働時間!$J$5:$J$353))</f>
        <v>0</v>
      </c>
      <c r="AD27" s="381">
        <f>SUMPRODUCT((③労働時間!$A$5:$A$353=作業体系表!$B27)*(③労働時間!$B$5:$B$353="9月下旬")*(③労働時間!$J$5:$J$353))</f>
        <v>0</v>
      </c>
      <c r="AE27" s="381">
        <f>SUMPRODUCT((③労働時間!$A$5:$A$353=作業体系表!$B27)*(③労働時間!$B$5:$B$353="10月上旬")*(③労働時間!$J$5:$J$353))</f>
        <v>0</v>
      </c>
      <c r="AF27" s="381">
        <f>SUMPRODUCT((③労働時間!$A$5:$A$353=作業体系表!$B27)*(③労働時間!$B$5:$B$353="10月中旬")*(③労働時間!$J$5:$J$353))</f>
        <v>0</v>
      </c>
      <c r="AG27" s="381">
        <f>SUMPRODUCT((③労働時間!$A$5:$A$353=作業体系表!$B27)*(③労働時間!$B$5:$B$353="10月下旬")*(③労働時間!$J$5:$J$353))</f>
        <v>0</v>
      </c>
      <c r="AH27" s="381">
        <f>SUMPRODUCT((③労働時間!$A$5:$A$353=作業体系表!$B27)*(③労働時間!$B$5:$B$353="11月上旬")*(③労働時間!$J$5:$J$353))</f>
        <v>0</v>
      </c>
      <c r="AI27" s="381">
        <f>SUMPRODUCT((③労働時間!$A$5:$A$353=作業体系表!$B27)*(③労働時間!$B$5:$B$353="11月中旬")*(③労働時間!$J$5:$J$353))</f>
        <v>0</v>
      </c>
      <c r="AJ27" s="381">
        <f>SUMPRODUCT((③労働時間!$A$5:$A$353=作業体系表!$B27)*(③労働時間!$B$5:$B$353="11月下旬")*(③労働時間!$J$5:$J$353))</f>
        <v>0</v>
      </c>
      <c r="AK27" s="381">
        <f>SUMPRODUCT((③労働時間!$A$5:$A$353=作業体系表!$B27)*(③労働時間!$B$5:$B$353="12月上旬")*(③労働時間!$J$5:$J$353))</f>
        <v>0</v>
      </c>
      <c r="AL27" s="381">
        <f>SUMPRODUCT((③労働時間!$A$5:$A$353=作業体系表!$B27)*(③労働時間!$B$5:$B$353="12月中旬")*(③労働時間!$J$5:$J$353))</f>
        <v>0</v>
      </c>
      <c r="AM27" s="383">
        <f>SUMPRODUCT((③労働時間!$A$5:$A$353=作業体系表!$B27)*(③労働時間!$B$5:$B$353="12月下旬")*(③労働時間!$J$5:$J$353))</f>
        <v>0</v>
      </c>
      <c r="AN27" s="384">
        <f t="shared" si="0"/>
        <v>0</v>
      </c>
    </row>
    <row r="28" spans="2:40" ht="15" customHeight="1">
      <c r="B28" s="705">
        <f>①技術体系!A25</f>
        <v>0</v>
      </c>
      <c r="C28" s="706"/>
      <c r="D28" s="381">
        <f>SUMPRODUCT((③労働時間!$A$5:$A$353=作業体系表!$B28)*(③労働時間!$B$5:$B$353="1月上旬")*(③労働時間!$J$5:$J$353))</f>
        <v>0</v>
      </c>
      <c r="E28" s="381">
        <f>SUMPRODUCT((③労働時間!$A$5:$A$353=作業体系表!$B28)*(③労働時間!$B$5:$B$353="1月中旬")*(③労働時間!$J$5:$J$353))</f>
        <v>0</v>
      </c>
      <c r="F28" s="381">
        <f>SUMPRODUCT((③労働時間!$A$5:$A$353=作業体系表!$B28)*(③労働時間!$B$5:$B$353="1月下旬")*(③労働時間!$J$5:$J$353))</f>
        <v>0</v>
      </c>
      <c r="G28" s="381">
        <f>SUMPRODUCT((③労働時間!$A$5:$A$353=作業体系表!$B28)*(③労働時間!$B$5:$B$353="2月上旬")*(③労働時間!$J$5:$J$353))</f>
        <v>0</v>
      </c>
      <c r="H28" s="381">
        <f>SUMPRODUCT((③労働時間!$A$5:$A$353=作業体系表!$B28)*(③労働時間!$B$5:$B$353="2月中旬")*(③労働時間!$J$5:$J$353))</f>
        <v>0</v>
      </c>
      <c r="I28" s="381">
        <f>SUMPRODUCT((③労働時間!$A$5:$A$353=作業体系表!$B28)*(③労働時間!$B$5:$B$353="2月下旬")*(③労働時間!$J$5:$J$353))</f>
        <v>0</v>
      </c>
      <c r="J28" s="381">
        <f>SUMPRODUCT((③労働時間!$A$5:$A$353=作業体系表!$B28)*(③労働時間!$B$5:$B$353="3月上旬")*(③労働時間!$J$5:$J$353))</f>
        <v>0</v>
      </c>
      <c r="K28" s="381">
        <f>SUMPRODUCT((③労働時間!$A$5:$A$353=作業体系表!$B28)*(③労働時間!$B$5:$B$353="3月中旬")*(③労働時間!$J$5:$J$353))</f>
        <v>0</v>
      </c>
      <c r="L28" s="381">
        <f>SUMPRODUCT((③労働時間!$A$5:$A$353=作業体系表!$B28)*(③労働時間!$B$5:$B$353="3月下旬")*(③労働時間!$J$5:$J$353))</f>
        <v>0</v>
      </c>
      <c r="M28" s="381">
        <f>SUMPRODUCT((③労働時間!$A$5:$A$353=作業体系表!$B28)*(③労働時間!$B$5:$B$353="4月上旬")*(③労働時間!$J$5:$J$353))</f>
        <v>0</v>
      </c>
      <c r="N28" s="381">
        <f>SUMPRODUCT((③労働時間!$A$5:$A$353=作業体系表!$B28)*(③労働時間!$B$5:$B$353="4月中旬")*(③労働時間!$J$5:$J$353))</f>
        <v>0</v>
      </c>
      <c r="O28" s="381">
        <f>SUMPRODUCT((③労働時間!$A$5:$A$353=作業体系表!$B28)*(③労働時間!$B$5:$B$353="4月下旬")*(③労働時間!$J$5:$J$353))</f>
        <v>0</v>
      </c>
      <c r="P28" s="382">
        <f>SUMPRODUCT((③労働時間!$A$5:$A$353=作業体系表!$B28)*(③労働時間!$B$5:$B$353="5月上旬")*(③労働時間!$J$5:$J$353))</f>
        <v>0</v>
      </c>
      <c r="Q28" s="381">
        <f>SUMPRODUCT((③労働時間!$A$5:$A$353=作業体系表!$B28)*(③労働時間!$B$5:$B$353="5月中旬")*(③労働時間!$J$5:$J$353))</f>
        <v>0</v>
      </c>
      <c r="R28" s="381">
        <f>SUMPRODUCT((③労働時間!$A$5:$A$353=作業体系表!$B28)*(③労働時間!$B$5:$B$353="5月下旬")*(③労働時間!$J$5:$J$353))</f>
        <v>0</v>
      </c>
      <c r="S28" s="381">
        <f>SUMPRODUCT((③労働時間!$A$5:$A$353=作業体系表!$B28)*(③労働時間!$B$5:$B$353="6月上旬")*(③労働時間!$J$5:$J$353))</f>
        <v>0</v>
      </c>
      <c r="T28" s="381">
        <f>SUMPRODUCT((③労働時間!$A$5:$A$353=作業体系表!$B28)*(③労働時間!$B$5:$B$353="6月中旬")*(③労働時間!$J$5:$J$353))</f>
        <v>0</v>
      </c>
      <c r="U28" s="381">
        <f>SUMPRODUCT((③労働時間!$A$5:$A$353=作業体系表!$B28)*(③労働時間!$B$5:$B$353="6月下旬")*(③労働時間!$J$5:$J$353))</f>
        <v>0</v>
      </c>
      <c r="V28" s="381">
        <f>SUMPRODUCT((③労働時間!$A$5:$A$353=作業体系表!$B28)*(③労働時間!$B$5:$B$353="7月上旬")*(③労働時間!$J$5:$J$353))</f>
        <v>0</v>
      </c>
      <c r="W28" s="381">
        <f>SUMPRODUCT((③労働時間!$A$5:$A$353=作業体系表!$B28)*(③労働時間!$B$5:$B$353="7月中旬")*(③労働時間!$J$5:$J$353))</f>
        <v>0</v>
      </c>
      <c r="X28" s="381">
        <f>SUMPRODUCT((③労働時間!$A$5:$A$353=作業体系表!$B28)*(③労働時間!$B$5:$B$353="7月下旬")*(③労働時間!$J$5:$J$353))</f>
        <v>0</v>
      </c>
      <c r="Y28" s="381">
        <f>SUMPRODUCT((③労働時間!$A$5:$A$353=作業体系表!$B28)*(③労働時間!$B$5:$B$353="8月上旬")*(③労働時間!$J$5:$J$353))</f>
        <v>0</v>
      </c>
      <c r="Z28" s="381">
        <f>SUMPRODUCT((③労働時間!$A$5:$A$353=作業体系表!$B28)*(③労働時間!$B$5:$B$353="8月中旬")*(③労働時間!$J$5:$J$353))</f>
        <v>0</v>
      </c>
      <c r="AA28" s="381">
        <f>SUMPRODUCT((③労働時間!$A$5:$A$353=作業体系表!$B28)*(③労働時間!$B$5:$B$353="8月下旬")*(③労働時間!$J$5:$J$353))</f>
        <v>0</v>
      </c>
      <c r="AB28" s="382">
        <f>SUMPRODUCT((③労働時間!$A$5:$A$353=作業体系表!$B28)*(③労働時間!$B$5:$B$353="9月上旬")*(③労働時間!$J$5:$J$353))</f>
        <v>0</v>
      </c>
      <c r="AC28" s="381">
        <f>SUMPRODUCT((③労働時間!$A$5:$A$353=作業体系表!$B28)*(③労働時間!$B$5:$B$353="9月中旬")*(③労働時間!$J$5:$J$353))</f>
        <v>0</v>
      </c>
      <c r="AD28" s="381">
        <f>SUMPRODUCT((③労働時間!$A$5:$A$353=作業体系表!$B28)*(③労働時間!$B$5:$B$353="9月下旬")*(③労働時間!$J$5:$J$353))</f>
        <v>0</v>
      </c>
      <c r="AE28" s="381">
        <f>SUMPRODUCT((③労働時間!$A$5:$A$353=作業体系表!$B28)*(③労働時間!$B$5:$B$353="10月上旬")*(③労働時間!$J$5:$J$353))</f>
        <v>0</v>
      </c>
      <c r="AF28" s="381">
        <f>SUMPRODUCT((③労働時間!$A$5:$A$353=作業体系表!$B28)*(③労働時間!$B$5:$B$353="10月中旬")*(③労働時間!$J$5:$J$353))</f>
        <v>0</v>
      </c>
      <c r="AG28" s="381">
        <f>SUMPRODUCT((③労働時間!$A$5:$A$353=作業体系表!$B28)*(③労働時間!$B$5:$B$353="10月下旬")*(③労働時間!$J$5:$J$353))</f>
        <v>0</v>
      </c>
      <c r="AH28" s="381">
        <f>SUMPRODUCT((③労働時間!$A$5:$A$353=作業体系表!$B28)*(③労働時間!$B$5:$B$353="11月上旬")*(③労働時間!$J$5:$J$353))</f>
        <v>0</v>
      </c>
      <c r="AI28" s="381">
        <f>SUMPRODUCT((③労働時間!$A$5:$A$353=作業体系表!$B28)*(③労働時間!$B$5:$B$353="11月中旬")*(③労働時間!$J$5:$J$353))</f>
        <v>0</v>
      </c>
      <c r="AJ28" s="381">
        <f>SUMPRODUCT((③労働時間!$A$5:$A$353=作業体系表!$B28)*(③労働時間!$B$5:$B$353="11月下旬")*(③労働時間!$J$5:$J$353))</f>
        <v>0</v>
      </c>
      <c r="AK28" s="381">
        <f>SUMPRODUCT((③労働時間!$A$5:$A$353=作業体系表!$B28)*(③労働時間!$B$5:$B$353="12月上旬")*(③労働時間!$J$5:$J$353))</f>
        <v>0</v>
      </c>
      <c r="AL28" s="381">
        <f>SUMPRODUCT((③労働時間!$A$5:$A$353=作業体系表!$B28)*(③労働時間!$B$5:$B$353="12月中旬")*(③労働時間!$J$5:$J$353))</f>
        <v>0</v>
      </c>
      <c r="AM28" s="383">
        <f>SUMPRODUCT((③労働時間!$A$5:$A$353=作業体系表!$B28)*(③労働時間!$B$5:$B$353="12月下旬")*(③労働時間!$J$5:$J$353))</f>
        <v>0</v>
      </c>
      <c r="AN28" s="385">
        <f t="shared" si="0"/>
        <v>0</v>
      </c>
    </row>
    <row r="29" spans="2:40" s="444" customFormat="1" ht="12" customHeight="1">
      <c r="B29" s="712" t="s">
        <v>132</v>
      </c>
      <c r="C29" s="443" t="s">
        <v>138</v>
      </c>
      <c r="D29" s="388">
        <f>SUMPRODUCT((③労働時間!$B$5:$B$353="1月上旬")*(③労働時間!$Q$5:$Q$353))</f>
        <v>0</v>
      </c>
      <c r="E29" s="389">
        <f>SUMPRODUCT((③労働時間!$B$5:$B$353="1月中旬")*(③労働時間!$Q$5:$Q$353))</f>
        <v>0</v>
      </c>
      <c r="F29" s="389">
        <f>SUMPRODUCT((③労働時間!$B$5:$B$353="1月下旬")*(③労働時間!$Q$5:$Q$353))</f>
        <v>0.64620963327859893</v>
      </c>
      <c r="G29" s="389">
        <f>SUMPRODUCT((③労働時間!$B$5:$B$353="2月上旬")*(③労働時間!$Q$5:$Q$353))</f>
        <v>0.20833333333333331</v>
      </c>
      <c r="H29" s="389">
        <f>SUMPRODUCT((③労働時間!$B$5:$B$353="2月中旬")*(③労働時間!$Q$5:$Q$353))</f>
        <v>0.57870370370370372</v>
      </c>
      <c r="I29" s="389">
        <f>SUMPRODUCT((③労働時間!$B$5:$B$353="2月下旬")*(③労働時間!$Q$5:$Q$353))</f>
        <v>0.64620963327859893</v>
      </c>
      <c r="J29" s="389">
        <f>SUMPRODUCT((③労働時間!$B$5:$B$353="3月上旬")*(③労働時間!$Q$5:$Q$353))</f>
        <v>0.43787629994526556</v>
      </c>
      <c r="K29" s="389">
        <f>SUMPRODUCT((③労働時間!$B$5:$B$353="3月中旬")*(③労働時間!$Q$5:$Q$353))</f>
        <v>0.43787629994526556</v>
      </c>
      <c r="L29" s="389">
        <f>SUMPRODUCT((③労働時間!$B$5:$B$353="3月下旬")*(③労働時間!$Q$5:$Q$353))</f>
        <v>0</v>
      </c>
      <c r="M29" s="389">
        <f>SUMPRODUCT((③労働時間!$B$5:$B$353="4月上旬")*(③労働時間!$Q$5:$Q$353))</f>
        <v>0</v>
      </c>
      <c r="N29" s="389">
        <f>SUMPRODUCT((③労働時間!$B$5:$B$353="4月中旬")*(③労働時間!$Q$5:$Q$353))</f>
        <v>0.10262725779967161</v>
      </c>
      <c r="O29" s="389">
        <f>SUMPRODUCT((③労働時間!$B$5:$B$353="4月下旬")*(③労働時間!$Q$5:$Q$353))</f>
        <v>0.10262725779967161</v>
      </c>
      <c r="P29" s="388">
        <f>SUMPRODUCT((③労働時間!$B$5:$B$353="5月上旬")*(③労働時間!$Q$5:$Q$353))</f>
        <v>0</v>
      </c>
      <c r="Q29" s="389">
        <f>SUMPRODUCT((③労働時間!$B$5:$B$353="5月中旬")*(③労働時間!$Q$5:$Q$353))</f>
        <v>0</v>
      </c>
      <c r="R29" s="389">
        <f>SUMPRODUCT((③労働時間!$B$5:$B$353="5月下旬")*(③労働時間!$Q$5:$Q$353))</f>
        <v>0</v>
      </c>
      <c r="S29" s="389">
        <f>SUMPRODUCT((③労働時間!$B$5:$B$353="6月上旬")*(③労働時間!$Q$5:$Q$353))</f>
        <v>1.3018759018759019</v>
      </c>
      <c r="T29" s="389">
        <f>SUMPRODUCT((③労働時間!$B$5:$B$353="6月中旬")*(③労働時間!$Q$5:$Q$353))</f>
        <v>0</v>
      </c>
      <c r="U29" s="389">
        <f>SUMPRODUCT((③労働時間!$B$5:$B$353="6月下旬")*(③労働時間!$Q$5:$Q$353))</f>
        <v>0</v>
      </c>
      <c r="V29" s="389">
        <f>SUMPRODUCT((③労働時間!$B$5:$B$353="7月上旬")*(③労働時間!$Q$5:$Q$353))</f>
        <v>0</v>
      </c>
      <c r="W29" s="389">
        <f>SUMPRODUCT((③労働時間!$B$5:$B$353="7月中旬")*(③労働時間!$Q$5:$Q$353))</f>
        <v>0</v>
      </c>
      <c r="X29" s="389">
        <f>SUMPRODUCT((③労働時間!$B$5:$B$353="7月下旬")*(③労働時間!$Q$5:$Q$353))</f>
        <v>0</v>
      </c>
      <c r="Y29" s="389">
        <f>SUMPRODUCT((③労働時間!$B$5:$B$353="8月上旬")*(③労働時間!$Q$5:$Q$353))</f>
        <v>0</v>
      </c>
      <c r="Z29" s="389">
        <f>SUMPRODUCT((③労働時間!$B$5:$B$353="8月中旬")*(③労働時間!$Q$5:$Q$353))</f>
        <v>0</v>
      </c>
      <c r="AA29" s="389">
        <f>SUMPRODUCT((③労働時間!$B$5:$B$353="8月下旬")*(③労働時間!$Q$5:$Q$353))</f>
        <v>0</v>
      </c>
      <c r="AB29" s="388">
        <f>SUMPRODUCT((③労働時間!$B$5:$B$353="9月上旬")*(③労働時間!$Q$5:$Q$353))</f>
        <v>0</v>
      </c>
      <c r="AC29" s="389">
        <f>SUMPRODUCT((③労働時間!$B$5:$B$353="9月中旬")*(③労働時間!$Q$5:$Q$353))</f>
        <v>0</v>
      </c>
      <c r="AD29" s="389">
        <f>SUMPRODUCT((③労働時間!$B$5:$B$353="9月下旬")*(③労働時間!$Q$5:$Q$353))</f>
        <v>0</v>
      </c>
      <c r="AE29" s="389">
        <f>SUMPRODUCT((③労働時間!$B$5:$B$353="10月上旬")*(③労働時間!$Q$5:$Q$353))</f>
        <v>0</v>
      </c>
      <c r="AF29" s="389">
        <f>SUMPRODUCT((③労働時間!$B$5:$B$353="10月中旬")*(③労働時間!$Q$5:$Q$353))</f>
        <v>0</v>
      </c>
      <c r="AG29" s="389">
        <f>SUMPRODUCT((③労働時間!$B$5:$B$353="10月下旬")*(③労働時間!$Q$5:$Q$353))</f>
        <v>1.6069220438689464</v>
      </c>
      <c r="AH29" s="389">
        <f>SUMPRODUCT((③労働時間!$B$5:$B$353="11月上旬")*(③労働時間!$Q$5:$Q$353))</f>
        <v>0</v>
      </c>
      <c r="AI29" s="389">
        <f>SUMPRODUCT((③労働時間!$B$5:$B$353="11月中旬")*(③労働時間!$Q$5:$Q$353))</f>
        <v>0</v>
      </c>
      <c r="AJ29" s="389">
        <f>SUMPRODUCT((③労働時間!$B$5:$B$353="11月下旬")*(③労働時間!$Q$5:$Q$353))</f>
        <v>0.59865900383141768</v>
      </c>
      <c r="AK29" s="389">
        <f>SUMPRODUCT((③労働時間!$B$5:$B$353="12月上旬")*(③労働時間!$Q$5:$Q$353))</f>
        <v>0</v>
      </c>
      <c r="AL29" s="389">
        <f>SUMPRODUCT((③労働時間!$B$5:$B$353="12月中旬")*(③労働時間!$Q$5:$Q$353))</f>
        <v>0</v>
      </c>
      <c r="AM29" s="389">
        <f>SUMPRODUCT((③労働時間!$B$5:$B$353="12月下旬")*(③労働時間!$Q$5:$Q$353))</f>
        <v>0</v>
      </c>
      <c r="AN29" s="390">
        <f>SUM(D29:AM29)</f>
        <v>6.6679203686603747</v>
      </c>
    </row>
    <row r="30" spans="2:40" s="444" customFormat="1" ht="12" customHeight="1">
      <c r="B30" s="712"/>
      <c r="C30" s="445" t="s">
        <v>139</v>
      </c>
      <c r="D30" s="391">
        <f>SUMPRODUCT((③労働時間!$B$5:$B$353="1月上旬")*(③労働時間!$R$5:$R$353))</f>
        <v>0</v>
      </c>
      <c r="E30" s="392">
        <f>SUMPRODUCT((③労働時間!$B$5:$B$353="1月中旬")*(③労働時間!$R$5:$R$353))</f>
        <v>0</v>
      </c>
      <c r="F30" s="392">
        <f>SUMPRODUCT((③労働時間!$B$5:$B$353="1月下旬")*(③労働時間!$R$5:$R$353))</f>
        <v>0</v>
      </c>
      <c r="G30" s="392">
        <f>SUMPRODUCT((③労働時間!$B$5:$B$353="2月上旬")*(③労働時間!$R$5:$R$353))</f>
        <v>0</v>
      </c>
      <c r="H30" s="392">
        <f>SUMPRODUCT((③労働時間!$B$5:$B$353="2月中旬")*(③労働時間!$R$5:$R$353))</f>
        <v>0</v>
      </c>
      <c r="I30" s="392">
        <f>SUMPRODUCT((③労働時間!$B$5:$B$353="2月下旬")*(③労働時間!$R$5:$R$353))</f>
        <v>0</v>
      </c>
      <c r="J30" s="392">
        <f>SUMPRODUCT((③労働時間!$B$5:$B$353="3月上旬")*(③労働時間!$R$5:$R$353))</f>
        <v>0</v>
      </c>
      <c r="K30" s="392">
        <f>SUMPRODUCT((③労働時間!$B$5:$B$353="3月中旬")*(③労働時間!$R$5:$R$353))</f>
        <v>0</v>
      </c>
      <c r="L30" s="392">
        <f>SUMPRODUCT((③労働時間!$B$5:$B$353="3月下旬")*(③労働時間!$R$5:$R$353))</f>
        <v>0</v>
      </c>
      <c r="M30" s="392">
        <f>SUMPRODUCT((③労働時間!$B$5:$B$353="4月上旬")*(③労働時間!$R$5:$R$353))</f>
        <v>0</v>
      </c>
      <c r="N30" s="392">
        <f>SUMPRODUCT((③労働時間!$B$5:$B$353="4月中旬")*(③労働時間!$R$5:$R$353))</f>
        <v>0.10262725779967161</v>
      </c>
      <c r="O30" s="392">
        <f>SUMPRODUCT((③労働時間!$B$5:$B$353="4月下旬")*(③労働時間!$R$5:$R$353))</f>
        <v>0.10262725779967161</v>
      </c>
      <c r="P30" s="391">
        <f>SUMPRODUCT((③労働時間!$B$5:$B$353="5月上旬")*(③労働時間!$R$5:$R$353))</f>
        <v>0</v>
      </c>
      <c r="Q30" s="392">
        <f>SUMPRODUCT((③労働時間!$B$5:$B$353="5月中旬")*(③労働時間!$R$5:$R$353))</f>
        <v>0</v>
      </c>
      <c r="R30" s="392">
        <f>SUMPRODUCT((③労働時間!$B$5:$B$353="5月下旬")*(③労働時間!$R$5:$R$353))</f>
        <v>0</v>
      </c>
      <c r="S30" s="392">
        <f>SUMPRODUCT((③労働時間!$B$5:$B$353="6月上旬")*(③労働時間!$R$5:$R$353))</f>
        <v>0.90187590187590194</v>
      </c>
      <c r="T30" s="392">
        <f>SUMPRODUCT((③労働時間!$B$5:$B$353="6月中旬")*(③労働時間!$R$5:$R$353))</f>
        <v>0</v>
      </c>
      <c r="U30" s="392">
        <f>SUMPRODUCT((③労働時間!$B$5:$B$353="6月下旬")*(③労働時間!$R$5:$R$353))</f>
        <v>0</v>
      </c>
      <c r="V30" s="392">
        <f>SUMPRODUCT((③労働時間!$B$5:$B$353="7月上旬")*(③労働時間!$R$5:$R$353))</f>
        <v>0</v>
      </c>
      <c r="W30" s="392">
        <f>SUMPRODUCT((③労働時間!$B$5:$B$353="7月中旬")*(③労働時間!$R$5:$R$353))</f>
        <v>0</v>
      </c>
      <c r="X30" s="392">
        <f>SUMPRODUCT((③労働時間!$B$5:$B$353="7月下旬")*(③労働時間!$R$5:$R$353))</f>
        <v>0</v>
      </c>
      <c r="Y30" s="392">
        <f>SUMPRODUCT((③労働時間!$B$5:$B$353="8月上旬")*(③労働時間!$R$5:$R$353))</f>
        <v>0</v>
      </c>
      <c r="Z30" s="392">
        <f>SUMPRODUCT((③労働時間!$B$5:$B$353="8月中旬")*(③労働時間!$R$5:$R$353))</f>
        <v>0</v>
      </c>
      <c r="AA30" s="392">
        <f>SUMPRODUCT((③労働時間!$B$5:$B$353="8月下旬")*(③労働時間!$R$5:$R$353))</f>
        <v>0</v>
      </c>
      <c r="AB30" s="391">
        <f>SUMPRODUCT((③労働時間!$B$5:$B$353="9月上旬")*(③労働時間!$R$5:$R$353))</f>
        <v>0</v>
      </c>
      <c r="AC30" s="392">
        <f>SUMPRODUCT((③労働時間!$B$5:$B$353="9月中旬")*(③労働時間!$R$5:$R$353))</f>
        <v>0</v>
      </c>
      <c r="AD30" s="392">
        <f>SUMPRODUCT((③労働時間!$B$5:$B$353="9月下旬")*(③労働時間!$R$5:$R$353))</f>
        <v>0</v>
      </c>
      <c r="AE30" s="392">
        <f>SUMPRODUCT((③労働時間!$B$5:$B$353="10月上旬")*(③労働時間!$R$5:$R$353))</f>
        <v>0</v>
      </c>
      <c r="AF30" s="392">
        <f>SUMPRODUCT((③労働時間!$B$5:$B$353="10月中旬")*(③労働時間!$R$5:$R$353))</f>
        <v>0</v>
      </c>
      <c r="AG30" s="392">
        <f>SUMPRODUCT((③労働時間!$B$5:$B$353="10月下旬")*(③労働時間!$R$5:$R$353))</f>
        <v>0</v>
      </c>
      <c r="AH30" s="392">
        <f>SUMPRODUCT((③労働時間!$B$5:$B$353="11月上旬")*(③労働時間!$R$5:$R$353))</f>
        <v>0</v>
      </c>
      <c r="AI30" s="392">
        <f>SUMPRODUCT((③労働時間!$B$5:$B$353="11月中旬")*(③労働時間!$R$5:$R$353))</f>
        <v>0</v>
      </c>
      <c r="AJ30" s="392">
        <f>SUMPRODUCT((③労働時間!$B$5:$B$353="11月下旬")*(③労働時間!$R$5:$R$353))</f>
        <v>0.59865900383141768</v>
      </c>
      <c r="AK30" s="392">
        <f>SUMPRODUCT((③労働時間!$B$5:$B$353="12月上旬")*(③労働時間!$R$5:$R$353))</f>
        <v>0</v>
      </c>
      <c r="AL30" s="392">
        <f>SUMPRODUCT((③労働時間!$B$5:$B$353="12月中旬")*(③労働時間!$R$5:$R$353))</f>
        <v>0</v>
      </c>
      <c r="AM30" s="392">
        <f>SUMPRODUCT((③労働時間!$B$5:$B$353="12月下旬")*(③労働時間!$R$5:$R$353))</f>
        <v>0</v>
      </c>
      <c r="AN30" s="393">
        <f>SUM(D30:AM30)</f>
        <v>1.7057894213066629</v>
      </c>
    </row>
    <row r="31" spans="2:40" ht="12" customHeight="1">
      <c r="B31" s="712"/>
      <c r="C31" s="446" t="s">
        <v>140</v>
      </c>
      <c r="D31" s="387">
        <f>SUM(D9:D28)</f>
        <v>0</v>
      </c>
      <c r="E31" s="386">
        <f t="shared" ref="E31:U31" si="1">SUM(E9:E28)</f>
        <v>0</v>
      </c>
      <c r="F31" s="386">
        <f t="shared" si="1"/>
        <v>0.64620963327859893</v>
      </c>
      <c r="G31" s="386">
        <f t="shared" si="1"/>
        <v>0.20833333333333331</v>
      </c>
      <c r="H31" s="386">
        <f t="shared" si="1"/>
        <v>0.57870370370370372</v>
      </c>
      <c r="I31" s="386">
        <f t="shared" si="1"/>
        <v>0.64620963327859893</v>
      </c>
      <c r="J31" s="386">
        <f t="shared" si="1"/>
        <v>0.43787629994526556</v>
      </c>
      <c r="K31" s="386">
        <f t="shared" si="1"/>
        <v>0.43787629994526556</v>
      </c>
      <c r="L31" s="386">
        <f t="shared" si="1"/>
        <v>0</v>
      </c>
      <c r="M31" s="386">
        <f t="shared" si="1"/>
        <v>0</v>
      </c>
      <c r="N31" s="386">
        <f t="shared" si="1"/>
        <v>0.20525451559934321</v>
      </c>
      <c r="O31" s="386">
        <f t="shared" si="1"/>
        <v>0.20525451559934321</v>
      </c>
      <c r="P31" s="387">
        <f t="shared" si="1"/>
        <v>0</v>
      </c>
      <c r="Q31" s="386">
        <f t="shared" si="1"/>
        <v>0</v>
      </c>
      <c r="R31" s="386">
        <f t="shared" si="1"/>
        <v>0</v>
      </c>
      <c r="S31" s="386">
        <f t="shared" si="1"/>
        <v>2.2037518037518038</v>
      </c>
      <c r="T31" s="386">
        <f t="shared" si="1"/>
        <v>0</v>
      </c>
      <c r="U31" s="386">
        <f t="shared" si="1"/>
        <v>0</v>
      </c>
      <c r="V31" s="386">
        <f t="shared" ref="V31:AM31" si="2">SUM(V9:V28)</f>
        <v>0</v>
      </c>
      <c r="W31" s="386">
        <f t="shared" si="2"/>
        <v>0</v>
      </c>
      <c r="X31" s="386">
        <f t="shared" si="2"/>
        <v>0</v>
      </c>
      <c r="Y31" s="386">
        <f t="shared" si="2"/>
        <v>0</v>
      </c>
      <c r="Z31" s="386">
        <f t="shared" si="2"/>
        <v>0</v>
      </c>
      <c r="AA31" s="386">
        <f t="shared" si="2"/>
        <v>0</v>
      </c>
      <c r="AB31" s="387">
        <f t="shared" si="2"/>
        <v>0</v>
      </c>
      <c r="AC31" s="386">
        <f t="shared" si="2"/>
        <v>0</v>
      </c>
      <c r="AD31" s="386">
        <f t="shared" si="2"/>
        <v>0</v>
      </c>
      <c r="AE31" s="386">
        <f t="shared" si="2"/>
        <v>0</v>
      </c>
      <c r="AF31" s="386">
        <f t="shared" si="2"/>
        <v>0</v>
      </c>
      <c r="AG31" s="386">
        <f t="shared" si="2"/>
        <v>1.6069220438689467</v>
      </c>
      <c r="AH31" s="386">
        <f t="shared" si="2"/>
        <v>0</v>
      </c>
      <c r="AI31" s="386">
        <f t="shared" si="2"/>
        <v>0</v>
      </c>
      <c r="AJ31" s="386">
        <f t="shared" si="2"/>
        <v>1.1973180076628354</v>
      </c>
      <c r="AK31" s="386">
        <f t="shared" si="2"/>
        <v>0</v>
      </c>
      <c r="AL31" s="386">
        <f t="shared" si="2"/>
        <v>0</v>
      </c>
      <c r="AM31" s="386">
        <f t="shared" si="2"/>
        <v>0</v>
      </c>
      <c r="AN31" s="394">
        <f>SUM(D31:AM31)</f>
        <v>8.3737097899670374</v>
      </c>
    </row>
    <row r="32" spans="2:40" ht="12" customHeight="1" thickBo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row>
    <row r="33" spans="2:40" s="47" customFormat="1" ht="20.100000000000001" customHeight="1" thickBot="1">
      <c r="C33" s="447">
        <f>①技術体系!E2*100</f>
        <v>900</v>
      </c>
      <c r="D33" s="448" t="s">
        <v>383</v>
      </c>
      <c r="E33" s="47" t="s">
        <v>380</v>
      </c>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row>
    <row r="34" spans="2:40" s="47" customFormat="1" ht="20.100000000000001" customHeight="1" thickBot="1">
      <c r="B34" s="707" t="s">
        <v>381</v>
      </c>
      <c r="C34" s="708"/>
      <c r="D34" s="623">
        <f>D31*$C$33/10</f>
        <v>0</v>
      </c>
      <c r="E34" s="624">
        <f t="shared" ref="E34:AM34" si="3">E31*$C$33/10</f>
        <v>0</v>
      </c>
      <c r="F34" s="623">
        <f t="shared" si="3"/>
        <v>58.1588669950739</v>
      </c>
      <c r="G34" s="625">
        <f t="shared" si="3"/>
        <v>18.749999999999996</v>
      </c>
      <c r="H34" s="624">
        <f t="shared" si="3"/>
        <v>52.083333333333336</v>
      </c>
      <c r="I34" s="626">
        <f t="shared" si="3"/>
        <v>58.1588669950739</v>
      </c>
      <c r="J34" s="623">
        <f t="shared" si="3"/>
        <v>39.4088669950739</v>
      </c>
      <c r="K34" s="624">
        <f t="shared" si="3"/>
        <v>39.4088669950739</v>
      </c>
      <c r="L34" s="623">
        <f t="shared" si="3"/>
        <v>0</v>
      </c>
      <c r="M34" s="625">
        <f t="shared" si="3"/>
        <v>0</v>
      </c>
      <c r="N34" s="624">
        <f t="shared" si="3"/>
        <v>18.47290640394089</v>
      </c>
      <c r="O34" s="626">
        <f t="shared" si="3"/>
        <v>18.47290640394089</v>
      </c>
      <c r="P34" s="623">
        <f t="shared" si="3"/>
        <v>0</v>
      </c>
      <c r="Q34" s="624">
        <f t="shared" si="3"/>
        <v>0</v>
      </c>
      <c r="R34" s="623">
        <f t="shared" si="3"/>
        <v>0</v>
      </c>
      <c r="S34" s="625">
        <f t="shared" si="3"/>
        <v>198.33766233766235</v>
      </c>
      <c r="T34" s="624">
        <f t="shared" si="3"/>
        <v>0</v>
      </c>
      <c r="U34" s="626">
        <f t="shared" si="3"/>
        <v>0</v>
      </c>
      <c r="V34" s="623">
        <f t="shared" si="3"/>
        <v>0</v>
      </c>
      <c r="W34" s="624">
        <f t="shared" si="3"/>
        <v>0</v>
      </c>
      <c r="X34" s="623">
        <f t="shared" si="3"/>
        <v>0</v>
      </c>
      <c r="Y34" s="625">
        <f t="shared" si="3"/>
        <v>0</v>
      </c>
      <c r="Z34" s="624">
        <f t="shared" si="3"/>
        <v>0</v>
      </c>
      <c r="AA34" s="626">
        <f t="shared" si="3"/>
        <v>0</v>
      </c>
      <c r="AB34" s="623">
        <f t="shared" si="3"/>
        <v>0</v>
      </c>
      <c r="AC34" s="624">
        <f t="shared" si="3"/>
        <v>0</v>
      </c>
      <c r="AD34" s="623">
        <f t="shared" si="3"/>
        <v>0</v>
      </c>
      <c r="AE34" s="625">
        <f t="shared" si="3"/>
        <v>0</v>
      </c>
      <c r="AF34" s="624">
        <f t="shared" si="3"/>
        <v>0</v>
      </c>
      <c r="AG34" s="626">
        <f t="shared" si="3"/>
        <v>144.62298394820522</v>
      </c>
      <c r="AH34" s="623">
        <f t="shared" si="3"/>
        <v>0</v>
      </c>
      <c r="AI34" s="624">
        <f t="shared" si="3"/>
        <v>0</v>
      </c>
      <c r="AJ34" s="623">
        <f t="shared" si="3"/>
        <v>107.75862068965519</v>
      </c>
      <c r="AK34" s="625">
        <f t="shared" si="3"/>
        <v>0</v>
      </c>
      <c r="AL34" s="624">
        <f t="shared" si="3"/>
        <v>0</v>
      </c>
      <c r="AM34" s="626">
        <f t="shared" si="3"/>
        <v>0</v>
      </c>
      <c r="AN34" s="627">
        <f t="shared" ref="AN34:AN36" si="4">SUM(D34:AM34)</f>
        <v>753.63388109703362</v>
      </c>
    </row>
    <row r="35" spans="2:40" s="47" customFormat="1" ht="20.100000000000001" customHeight="1" thickTop="1">
      <c r="B35" s="709" t="s">
        <v>404</v>
      </c>
      <c r="C35" s="450" t="s">
        <v>384</v>
      </c>
      <c r="D35" s="614">
        <v>150</v>
      </c>
      <c r="E35" s="615">
        <v>150</v>
      </c>
      <c r="F35" s="614">
        <v>150</v>
      </c>
      <c r="G35" s="616">
        <v>150</v>
      </c>
      <c r="H35" s="617">
        <v>150</v>
      </c>
      <c r="I35" s="618">
        <v>150</v>
      </c>
      <c r="J35" s="622">
        <v>150</v>
      </c>
      <c r="K35" s="617">
        <v>150</v>
      </c>
      <c r="L35" s="622">
        <v>150</v>
      </c>
      <c r="M35" s="616">
        <v>150</v>
      </c>
      <c r="N35" s="617">
        <v>150</v>
      </c>
      <c r="O35" s="618">
        <v>150</v>
      </c>
      <c r="P35" s="622">
        <v>150</v>
      </c>
      <c r="Q35" s="617">
        <v>150</v>
      </c>
      <c r="R35" s="622">
        <v>150</v>
      </c>
      <c r="S35" s="616">
        <v>150</v>
      </c>
      <c r="T35" s="617">
        <v>150</v>
      </c>
      <c r="U35" s="618">
        <v>150</v>
      </c>
      <c r="V35" s="614">
        <v>150</v>
      </c>
      <c r="W35" s="615">
        <v>150</v>
      </c>
      <c r="X35" s="614">
        <v>150</v>
      </c>
      <c r="Y35" s="619">
        <v>150</v>
      </c>
      <c r="Z35" s="615">
        <v>150</v>
      </c>
      <c r="AA35" s="620">
        <v>150</v>
      </c>
      <c r="AB35" s="614">
        <v>150</v>
      </c>
      <c r="AC35" s="615">
        <v>150</v>
      </c>
      <c r="AD35" s="614">
        <v>150</v>
      </c>
      <c r="AE35" s="619">
        <v>150</v>
      </c>
      <c r="AF35" s="615">
        <v>150</v>
      </c>
      <c r="AG35" s="620">
        <v>150</v>
      </c>
      <c r="AH35" s="614">
        <v>150</v>
      </c>
      <c r="AI35" s="615">
        <v>150</v>
      </c>
      <c r="AJ35" s="614">
        <v>150</v>
      </c>
      <c r="AK35" s="619">
        <v>150</v>
      </c>
      <c r="AL35" s="615">
        <v>150</v>
      </c>
      <c r="AM35" s="620">
        <v>150</v>
      </c>
      <c r="AN35" s="621">
        <f t="shared" si="4"/>
        <v>5400</v>
      </c>
    </row>
    <row r="36" spans="2:40" s="47" customFormat="1" ht="20.100000000000001" customHeight="1" thickBot="1">
      <c r="B36" s="710"/>
      <c r="C36" s="628" t="s">
        <v>572</v>
      </c>
      <c r="D36" s="616"/>
      <c r="E36" s="617"/>
      <c r="F36" s="618"/>
      <c r="G36" s="622"/>
      <c r="H36" s="617"/>
      <c r="I36" s="622"/>
      <c r="J36" s="616"/>
      <c r="K36" s="617"/>
      <c r="L36" s="618"/>
      <c r="M36" s="616"/>
      <c r="N36" s="617"/>
      <c r="O36" s="618"/>
      <c r="P36" s="622"/>
      <c r="Q36" s="617"/>
      <c r="R36" s="622"/>
      <c r="S36" s="616">
        <v>48.337662337662351</v>
      </c>
      <c r="T36" s="617"/>
      <c r="U36" s="618"/>
      <c r="V36" s="622"/>
      <c r="W36" s="617"/>
      <c r="X36" s="622"/>
      <c r="Y36" s="616"/>
      <c r="Z36" s="617"/>
      <c r="AA36" s="618"/>
      <c r="AB36" s="622"/>
      <c r="AC36" s="617"/>
      <c r="AD36" s="622"/>
      <c r="AE36" s="616"/>
      <c r="AF36" s="617"/>
      <c r="AG36" s="618"/>
      <c r="AH36" s="622"/>
      <c r="AI36" s="617"/>
      <c r="AJ36" s="622"/>
      <c r="AK36" s="616"/>
      <c r="AL36" s="617"/>
      <c r="AM36" s="618"/>
      <c r="AN36" s="629">
        <f t="shared" si="4"/>
        <v>48.337662337662351</v>
      </c>
    </row>
    <row r="37" spans="2:40" s="47" customFormat="1" ht="20.100000000000001" customHeight="1" thickBot="1">
      <c r="B37" s="711"/>
      <c r="C37" s="630" t="s">
        <v>382</v>
      </c>
      <c r="D37" s="631">
        <f>+D35+D36+-D34</f>
        <v>150</v>
      </c>
      <c r="E37" s="632">
        <f t="shared" ref="E37:AM37" si="5">+E35+E36+-E34</f>
        <v>150</v>
      </c>
      <c r="F37" s="633">
        <f t="shared" si="5"/>
        <v>91.841133004926093</v>
      </c>
      <c r="G37" s="631">
        <f t="shared" si="5"/>
        <v>131.25</v>
      </c>
      <c r="H37" s="632">
        <f t="shared" si="5"/>
        <v>97.916666666666657</v>
      </c>
      <c r="I37" s="634">
        <f t="shared" si="5"/>
        <v>91.841133004926093</v>
      </c>
      <c r="J37" s="635">
        <f t="shared" si="5"/>
        <v>110.59113300492609</v>
      </c>
      <c r="K37" s="632">
        <f t="shared" si="5"/>
        <v>110.59113300492609</v>
      </c>
      <c r="L37" s="633">
        <f t="shared" si="5"/>
        <v>150</v>
      </c>
      <c r="M37" s="631">
        <f t="shared" si="5"/>
        <v>150</v>
      </c>
      <c r="N37" s="632">
        <f t="shared" si="5"/>
        <v>131.5270935960591</v>
      </c>
      <c r="O37" s="634">
        <f t="shared" si="5"/>
        <v>131.5270935960591</v>
      </c>
      <c r="P37" s="635">
        <f t="shared" si="5"/>
        <v>150</v>
      </c>
      <c r="Q37" s="632">
        <f t="shared" si="5"/>
        <v>150</v>
      </c>
      <c r="R37" s="633">
        <f t="shared" si="5"/>
        <v>150</v>
      </c>
      <c r="S37" s="631">
        <f t="shared" si="5"/>
        <v>0</v>
      </c>
      <c r="T37" s="632">
        <f t="shared" si="5"/>
        <v>150</v>
      </c>
      <c r="U37" s="634">
        <f t="shared" si="5"/>
        <v>150</v>
      </c>
      <c r="V37" s="635">
        <f t="shared" si="5"/>
        <v>150</v>
      </c>
      <c r="W37" s="632">
        <f t="shared" si="5"/>
        <v>150</v>
      </c>
      <c r="X37" s="633">
        <f t="shared" si="5"/>
        <v>150</v>
      </c>
      <c r="Y37" s="631">
        <f t="shared" si="5"/>
        <v>150</v>
      </c>
      <c r="Z37" s="632">
        <f t="shared" si="5"/>
        <v>150</v>
      </c>
      <c r="AA37" s="634">
        <f t="shared" si="5"/>
        <v>150</v>
      </c>
      <c r="AB37" s="635">
        <f t="shared" si="5"/>
        <v>150</v>
      </c>
      <c r="AC37" s="632">
        <f t="shared" si="5"/>
        <v>150</v>
      </c>
      <c r="AD37" s="633">
        <f t="shared" si="5"/>
        <v>150</v>
      </c>
      <c r="AE37" s="631">
        <f t="shared" si="5"/>
        <v>150</v>
      </c>
      <c r="AF37" s="632">
        <f t="shared" si="5"/>
        <v>150</v>
      </c>
      <c r="AG37" s="634">
        <f t="shared" si="5"/>
        <v>5.3770160517947829</v>
      </c>
      <c r="AH37" s="635">
        <f t="shared" si="5"/>
        <v>150</v>
      </c>
      <c r="AI37" s="632">
        <f t="shared" si="5"/>
        <v>150</v>
      </c>
      <c r="AJ37" s="633">
        <f t="shared" si="5"/>
        <v>42.241379310344811</v>
      </c>
      <c r="AK37" s="631">
        <f t="shared" si="5"/>
        <v>150</v>
      </c>
      <c r="AL37" s="632">
        <f t="shared" si="5"/>
        <v>150</v>
      </c>
      <c r="AM37" s="632">
        <f t="shared" si="5"/>
        <v>150</v>
      </c>
      <c r="AN37" s="636">
        <f t="shared" ref="AN37" si="6">SUM(D37:AM37)</f>
        <v>4694.7037812406288</v>
      </c>
    </row>
    <row r="38" spans="2:40" s="451" customFormat="1" ht="13.5" customHeight="1" thickBot="1">
      <c r="AN38" s="452"/>
    </row>
    <row r="39" spans="2:40" ht="28.5" customHeight="1">
      <c r="B39" s="46"/>
      <c r="C39" s="496" t="s">
        <v>407</v>
      </c>
      <c r="D39" s="701" t="s">
        <v>408</v>
      </c>
      <c r="E39" s="701"/>
      <c r="F39" s="702"/>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row>
    <row r="40" spans="2:40" ht="28.5" customHeight="1" thickBot="1">
      <c r="C40" s="497">
        <v>731</v>
      </c>
      <c r="D40" s="703">
        <f>C40*AN36</f>
        <v>35334.831168831181</v>
      </c>
      <c r="E40" s="703"/>
      <c r="F40" s="704"/>
    </row>
  </sheetData>
  <sheetProtection sheet="1" objects="1" scenarios="1" selectLockedCells="1"/>
  <mergeCells count="41">
    <mergeCell ref="B25:C25"/>
    <mergeCell ref="B24:C24"/>
    <mergeCell ref="B9:C9"/>
    <mergeCell ref="B18:C18"/>
    <mergeCell ref="B17:C17"/>
    <mergeCell ref="B16:C16"/>
    <mergeCell ref="B15:C15"/>
    <mergeCell ref="B14:C14"/>
    <mergeCell ref="B13:C13"/>
    <mergeCell ref="B12:C12"/>
    <mergeCell ref="B11:C11"/>
    <mergeCell ref="B10:C10"/>
    <mergeCell ref="B23:C23"/>
    <mergeCell ref="B22:C22"/>
    <mergeCell ref="B21:C21"/>
    <mergeCell ref="B20:C20"/>
    <mergeCell ref="B19:C19"/>
    <mergeCell ref="P2:R2"/>
    <mergeCell ref="C4:C8"/>
    <mergeCell ref="V2:X2"/>
    <mergeCell ref="B2:C3"/>
    <mergeCell ref="D2:F2"/>
    <mergeCell ref="G2:I2"/>
    <mergeCell ref="J2:L2"/>
    <mergeCell ref="S2:U2"/>
    <mergeCell ref="B4:B8"/>
    <mergeCell ref="M2:O2"/>
    <mergeCell ref="AN2:AN3"/>
    <mergeCell ref="Y2:AA2"/>
    <mergeCell ref="AB2:AD2"/>
    <mergeCell ref="AE2:AG2"/>
    <mergeCell ref="AH2:AJ2"/>
    <mergeCell ref="AK2:AM2"/>
    <mergeCell ref="D39:F39"/>
    <mergeCell ref="D40:F40"/>
    <mergeCell ref="B26:C26"/>
    <mergeCell ref="B28:C28"/>
    <mergeCell ref="B34:C34"/>
    <mergeCell ref="B35:B37"/>
    <mergeCell ref="B27:C27"/>
    <mergeCell ref="B29:B31"/>
  </mergeCells>
  <phoneticPr fontId="14"/>
  <printOptions horizontalCentered="1" verticalCentered="1"/>
  <pageMargins left="0.78740157480314965" right="0.74803149606299213" top="1.1811023622047245" bottom="0.39370078740157483" header="0.78740157480314965" footer="0.51181102362204722"/>
  <pageSetup paperSize="9" scale="51" firstPageNumber="0" orientation="landscape" cellComments="asDisplayed" horizontalDpi="4294967293" verticalDpi="300" r:id="rId1"/>
  <headerFooter alignWithMargins="0">
    <oddHeader>&amp;L二条大麦「サチホゴールデン」11月中旬播種（平坦地）</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O28"/>
  <sheetViews>
    <sheetView showGridLines="0" topLeftCell="A14" zoomScale="110" zoomScaleNormal="110" zoomScalePageLayoutView="153" workbookViewId="0">
      <selection activeCell="C25" sqref="C25"/>
    </sheetView>
  </sheetViews>
  <sheetFormatPr defaultColWidth="10" defaultRowHeight="13.5"/>
  <cols>
    <col min="1" max="1" width="3.125" style="277" customWidth="1"/>
    <col min="2" max="2" width="17.875" style="277" customWidth="1"/>
    <col min="3" max="3" width="10" style="277" customWidth="1"/>
    <col min="4" max="4" width="2.375" style="277" customWidth="1"/>
    <col min="5" max="5" width="6.125" style="277" customWidth="1"/>
    <col min="6" max="6" width="7.125" style="277" customWidth="1"/>
    <col min="7" max="7" width="1.875" style="277" customWidth="1"/>
    <col min="8" max="9" width="7.125" style="277" customWidth="1"/>
    <col min="10" max="10" width="2.125" style="277" customWidth="1"/>
    <col min="11" max="11" width="12.125" style="277" customWidth="1"/>
    <col min="12" max="12" width="5.875" style="277" customWidth="1"/>
    <col min="13" max="13" width="5.5" style="277" customWidth="1"/>
    <col min="14" max="15" width="8.375" style="277" customWidth="1"/>
    <col min="16" max="256" width="10" style="277"/>
    <col min="257" max="257" width="3.125" style="277" customWidth="1"/>
    <col min="258" max="258" width="17.875" style="277" customWidth="1"/>
    <col min="259" max="259" width="10" style="277" customWidth="1"/>
    <col min="260" max="260" width="2.375" style="277" customWidth="1"/>
    <col min="261" max="261" width="6.125" style="277" customWidth="1"/>
    <col min="262" max="262" width="7.125" style="277" customWidth="1"/>
    <col min="263" max="263" width="1.875" style="277" customWidth="1"/>
    <col min="264" max="265" width="7.125" style="277" customWidth="1"/>
    <col min="266" max="266" width="2.125" style="277" customWidth="1"/>
    <col min="267" max="267" width="12.125" style="277" customWidth="1"/>
    <col min="268" max="268" width="5.875" style="277" customWidth="1"/>
    <col min="269" max="269" width="5.5" style="277" customWidth="1"/>
    <col min="270" max="271" width="8.375" style="277" customWidth="1"/>
    <col min="272" max="512" width="10" style="277"/>
    <col min="513" max="513" width="3.125" style="277" customWidth="1"/>
    <col min="514" max="514" width="17.875" style="277" customWidth="1"/>
    <col min="515" max="515" width="10" style="277" customWidth="1"/>
    <col min="516" max="516" width="2.375" style="277" customWidth="1"/>
    <col min="517" max="517" width="6.125" style="277" customWidth="1"/>
    <col min="518" max="518" width="7.125" style="277" customWidth="1"/>
    <col min="519" max="519" width="1.875" style="277" customWidth="1"/>
    <col min="520" max="521" width="7.125" style="277" customWidth="1"/>
    <col min="522" max="522" width="2.125" style="277" customWidth="1"/>
    <col min="523" max="523" width="12.125" style="277" customWidth="1"/>
    <col min="524" max="524" width="5.875" style="277" customWidth="1"/>
    <col min="525" max="525" width="5.5" style="277" customWidth="1"/>
    <col min="526" max="527" width="8.375" style="277" customWidth="1"/>
    <col min="528" max="768" width="10" style="277"/>
    <col min="769" max="769" width="3.125" style="277" customWidth="1"/>
    <col min="770" max="770" width="17.875" style="277" customWidth="1"/>
    <col min="771" max="771" width="10" style="277" customWidth="1"/>
    <col min="772" max="772" width="2.375" style="277" customWidth="1"/>
    <col min="773" max="773" width="6.125" style="277" customWidth="1"/>
    <col min="774" max="774" width="7.125" style="277" customWidth="1"/>
    <col min="775" max="775" width="1.875" style="277" customWidth="1"/>
    <col min="776" max="777" width="7.125" style="277" customWidth="1"/>
    <col min="778" max="778" width="2.125" style="277" customWidth="1"/>
    <col min="779" max="779" width="12.125" style="277" customWidth="1"/>
    <col min="780" max="780" width="5.875" style="277" customWidth="1"/>
    <col min="781" max="781" width="5.5" style="277" customWidth="1"/>
    <col min="782" max="783" width="8.375" style="277" customWidth="1"/>
    <col min="784" max="1024" width="10" style="277"/>
    <col min="1025" max="1025" width="3.125" style="277" customWidth="1"/>
    <col min="1026" max="1026" width="17.875" style="277" customWidth="1"/>
    <col min="1027" max="1027" width="10" style="277" customWidth="1"/>
    <col min="1028" max="1028" width="2.375" style="277" customWidth="1"/>
    <col min="1029" max="1029" width="6.125" style="277" customWidth="1"/>
    <col min="1030" max="1030" width="7.125" style="277" customWidth="1"/>
    <col min="1031" max="1031" width="1.875" style="277" customWidth="1"/>
    <col min="1032" max="1033" width="7.125" style="277" customWidth="1"/>
    <col min="1034" max="1034" width="2.125" style="277" customWidth="1"/>
    <col min="1035" max="1035" width="12.125" style="277" customWidth="1"/>
    <col min="1036" max="1036" width="5.875" style="277" customWidth="1"/>
    <col min="1037" max="1037" width="5.5" style="277" customWidth="1"/>
    <col min="1038" max="1039" width="8.375" style="277" customWidth="1"/>
    <col min="1040" max="1280" width="10" style="277"/>
    <col min="1281" max="1281" width="3.125" style="277" customWidth="1"/>
    <col min="1282" max="1282" width="17.875" style="277" customWidth="1"/>
    <col min="1283" max="1283" width="10" style="277" customWidth="1"/>
    <col min="1284" max="1284" width="2.375" style="277" customWidth="1"/>
    <col min="1285" max="1285" width="6.125" style="277" customWidth="1"/>
    <col min="1286" max="1286" width="7.125" style="277" customWidth="1"/>
    <col min="1287" max="1287" width="1.875" style="277" customWidth="1"/>
    <col min="1288" max="1289" width="7.125" style="277" customWidth="1"/>
    <col min="1290" max="1290" width="2.125" style="277" customWidth="1"/>
    <col min="1291" max="1291" width="12.125" style="277" customWidth="1"/>
    <col min="1292" max="1292" width="5.875" style="277" customWidth="1"/>
    <col min="1293" max="1293" width="5.5" style="277" customWidth="1"/>
    <col min="1294" max="1295" width="8.375" style="277" customWidth="1"/>
    <col min="1296" max="1536" width="10" style="277"/>
    <col min="1537" max="1537" width="3.125" style="277" customWidth="1"/>
    <col min="1538" max="1538" width="17.875" style="277" customWidth="1"/>
    <col min="1539" max="1539" width="10" style="277" customWidth="1"/>
    <col min="1540" max="1540" width="2.375" style="277" customWidth="1"/>
    <col min="1541" max="1541" width="6.125" style="277" customWidth="1"/>
    <col min="1542" max="1542" width="7.125" style="277" customWidth="1"/>
    <col min="1543" max="1543" width="1.875" style="277" customWidth="1"/>
    <col min="1544" max="1545" width="7.125" style="277" customWidth="1"/>
    <col min="1546" max="1546" width="2.125" style="277" customWidth="1"/>
    <col min="1547" max="1547" width="12.125" style="277" customWidth="1"/>
    <col min="1548" max="1548" width="5.875" style="277" customWidth="1"/>
    <col min="1549" max="1549" width="5.5" style="277" customWidth="1"/>
    <col min="1550" max="1551" width="8.375" style="277" customWidth="1"/>
    <col min="1552" max="1792" width="10" style="277"/>
    <col min="1793" max="1793" width="3.125" style="277" customWidth="1"/>
    <col min="1794" max="1794" width="17.875" style="277" customWidth="1"/>
    <col min="1795" max="1795" width="10" style="277" customWidth="1"/>
    <col min="1796" max="1796" width="2.375" style="277" customWidth="1"/>
    <col min="1797" max="1797" width="6.125" style="277" customWidth="1"/>
    <col min="1798" max="1798" width="7.125" style="277" customWidth="1"/>
    <col min="1799" max="1799" width="1.875" style="277" customWidth="1"/>
    <col min="1800" max="1801" width="7.125" style="277" customWidth="1"/>
    <col min="1802" max="1802" width="2.125" style="277" customWidth="1"/>
    <col min="1803" max="1803" width="12.125" style="277" customWidth="1"/>
    <col min="1804" max="1804" width="5.875" style="277" customWidth="1"/>
    <col min="1805" max="1805" width="5.5" style="277" customWidth="1"/>
    <col min="1806" max="1807" width="8.375" style="277" customWidth="1"/>
    <col min="1808" max="2048" width="10" style="277"/>
    <col min="2049" max="2049" width="3.125" style="277" customWidth="1"/>
    <col min="2050" max="2050" width="17.875" style="277" customWidth="1"/>
    <col min="2051" max="2051" width="10" style="277" customWidth="1"/>
    <col min="2052" max="2052" width="2.375" style="277" customWidth="1"/>
    <col min="2053" max="2053" width="6.125" style="277" customWidth="1"/>
    <col min="2054" max="2054" width="7.125" style="277" customWidth="1"/>
    <col min="2055" max="2055" width="1.875" style="277" customWidth="1"/>
    <col min="2056" max="2057" width="7.125" style="277" customWidth="1"/>
    <col min="2058" max="2058" width="2.125" style="277" customWidth="1"/>
    <col min="2059" max="2059" width="12.125" style="277" customWidth="1"/>
    <col min="2060" max="2060" width="5.875" style="277" customWidth="1"/>
    <col min="2061" max="2061" width="5.5" style="277" customWidth="1"/>
    <col min="2062" max="2063" width="8.375" style="277" customWidth="1"/>
    <col min="2064" max="2304" width="10" style="277"/>
    <col min="2305" max="2305" width="3.125" style="277" customWidth="1"/>
    <col min="2306" max="2306" width="17.875" style="277" customWidth="1"/>
    <col min="2307" max="2307" width="10" style="277" customWidth="1"/>
    <col min="2308" max="2308" width="2.375" style="277" customWidth="1"/>
    <col min="2309" max="2309" width="6.125" style="277" customWidth="1"/>
    <col min="2310" max="2310" width="7.125" style="277" customWidth="1"/>
    <col min="2311" max="2311" width="1.875" style="277" customWidth="1"/>
    <col min="2312" max="2313" width="7.125" style="277" customWidth="1"/>
    <col min="2314" max="2314" width="2.125" style="277" customWidth="1"/>
    <col min="2315" max="2315" width="12.125" style="277" customWidth="1"/>
    <col min="2316" max="2316" width="5.875" style="277" customWidth="1"/>
    <col min="2317" max="2317" width="5.5" style="277" customWidth="1"/>
    <col min="2318" max="2319" width="8.375" style="277" customWidth="1"/>
    <col min="2320" max="2560" width="10" style="277"/>
    <col min="2561" max="2561" width="3.125" style="277" customWidth="1"/>
    <col min="2562" max="2562" width="17.875" style="277" customWidth="1"/>
    <col min="2563" max="2563" width="10" style="277" customWidth="1"/>
    <col min="2564" max="2564" width="2.375" style="277" customWidth="1"/>
    <col min="2565" max="2565" width="6.125" style="277" customWidth="1"/>
    <col min="2566" max="2566" width="7.125" style="277" customWidth="1"/>
    <col min="2567" max="2567" width="1.875" style="277" customWidth="1"/>
    <col min="2568" max="2569" width="7.125" style="277" customWidth="1"/>
    <col min="2570" max="2570" width="2.125" style="277" customWidth="1"/>
    <col min="2571" max="2571" width="12.125" style="277" customWidth="1"/>
    <col min="2572" max="2572" width="5.875" style="277" customWidth="1"/>
    <col min="2573" max="2573" width="5.5" style="277" customWidth="1"/>
    <col min="2574" max="2575" width="8.375" style="277" customWidth="1"/>
    <col min="2576" max="2816" width="10" style="277"/>
    <col min="2817" max="2817" width="3.125" style="277" customWidth="1"/>
    <col min="2818" max="2818" width="17.875" style="277" customWidth="1"/>
    <col min="2819" max="2819" width="10" style="277" customWidth="1"/>
    <col min="2820" max="2820" width="2.375" style="277" customWidth="1"/>
    <col min="2821" max="2821" width="6.125" style="277" customWidth="1"/>
    <col min="2822" max="2822" width="7.125" style="277" customWidth="1"/>
    <col min="2823" max="2823" width="1.875" style="277" customWidth="1"/>
    <col min="2824" max="2825" width="7.125" style="277" customWidth="1"/>
    <col min="2826" max="2826" width="2.125" style="277" customWidth="1"/>
    <col min="2827" max="2827" width="12.125" style="277" customWidth="1"/>
    <col min="2828" max="2828" width="5.875" style="277" customWidth="1"/>
    <col min="2829" max="2829" width="5.5" style="277" customWidth="1"/>
    <col min="2830" max="2831" width="8.375" style="277" customWidth="1"/>
    <col min="2832" max="3072" width="10" style="277"/>
    <col min="3073" max="3073" width="3.125" style="277" customWidth="1"/>
    <col min="3074" max="3074" width="17.875" style="277" customWidth="1"/>
    <col min="3075" max="3075" width="10" style="277" customWidth="1"/>
    <col min="3076" max="3076" width="2.375" style="277" customWidth="1"/>
    <col min="3077" max="3077" width="6.125" style="277" customWidth="1"/>
    <col min="3078" max="3078" width="7.125" style="277" customWidth="1"/>
    <col min="3079" max="3079" width="1.875" style="277" customWidth="1"/>
    <col min="3080" max="3081" width="7.125" style="277" customWidth="1"/>
    <col min="3082" max="3082" width="2.125" style="277" customWidth="1"/>
    <col min="3083" max="3083" width="12.125" style="277" customWidth="1"/>
    <col min="3084" max="3084" width="5.875" style="277" customWidth="1"/>
    <col min="3085" max="3085" width="5.5" style="277" customWidth="1"/>
    <col min="3086" max="3087" width="8.375" style="277" customWidth="1"/>
    <col min="3088" max="3328" width="10" style="277"/>
    <col min="3329" max="3329" width="3.125" style="277" customWidth="1"/>
    <col min="3330" max="3330" width="17.875" style="277" customWidth="1"/>
    <col min="3331" max="3331" width="10" style="277" customWidth="1"/>
    <col min="3332" max="3332" width="2.375" style="277" customWidth="1"/>
    <col min="3333" max="3333" width="6.125" style="277" customWidth="1"/>
    <col min="3334" max="3334" width="7.125" style="277" customWidth="1"/>
    <col min="3335" max="3335" width="1.875" style="277" customWidth="1"/>
    <col min="3336" max="3337" width="7.125" style="277" customWidth="1"/>
    <col min="3338" max="3338" width="2.125" style="277" customWidth="1"/>
    <col min="3339" max="3339" width="12.125" style="277" customWidth="1"/>
    <col min="3340" max="3340" width="5.875" style="277" customWidth="1"/>
    <col min="3341" max="3341" width="5.5" style="277" customWidth="1"/>
    <col min="3342" max="3343" width="8.375" style="277" customWidth="1"/>
    <col min="3344" max="3584" width="10" style="277"/>
    <col min="3585" max="3585" width="3.125" style="277" customWidth="1"/>
    <col min="3586" max="3586" width="17.875" style="277" customWidth="1"/>
    <col min="3587" max="3587" width="10" style="277" customWidth="1"/>
    <col min="3588" max="3588" width="2.375" style="277" customWidth="1"/>
    <col min="3589" max="3589" width="6.125" style="277" customWidth="1"/>
    <col min="3590" max="3590" width="7.125" style="277" customWidth="1"/>
    <col min="3591" max="3591" width="1.875" style="277" customWidth="1"/>
    <col min="3592" max="3593" width="7.125" style="277" customWidth="1"/>
    <col min="3594" max="3594" width="2.125" style="277" customWidth="1"/>
    <col min="3595" max="3595" width="12.125" style="277" customWidth="1"/>
    <col min="3596" max="3596" width="5.875" style="277" customWidth="1"/>
    <col min="3597" max="3597" width="5.5" style="277" customWidth="1"/>
    <col min="3598" max="3599" width="8.375" style="277" customWidth="1"/>
    <col min="3600" max="3840" width="10" style="277"/>
    <col min="3841" max="3841" width="3.125" style="277" customWidth="1"/>
    <col min="3842" max="3842" width="17.875" style="277" customWidth="1"/>
    <col min="3843" max="3843" width="10" style="277" customWidth="1"/>
    <col min="3844" max="3844" width="2.375" style="277" customWidth="1"/>
    <col min="3845" max="3845" width="6.125" style="277" customWidth="1"/>
    <col min="3846" max="3846" width="7.125" style="277" customWidth="1"/>
    <col min="3847" max="3847" width="1.875" style="277" customWidth="1"/>
    <col min="3848" max="3849" width="7.125" style="277" customWidth="1"/>
    <col min="3850" max="3850" width="2.125" style="277" customWidth="1"/>
    <col min="3851" max="3851" width="12.125" style="277" customWidth="1"/>
    <col min="3852" max="3852" width="5.875" style="277" customWidth="1"/>
    <col min="3853" max="3853" width="5.5" style="277" customWidth="1"/>
    <col min="3854" max="3855" width="8.375" style="277" customWidth="1"/>
    <col min="3856" max="4096" width="10" style="277"/>
    <col min="4097" max="4097" width="3.125" style="277" customWidth="1"/>
    <col min="4098" max="4098" width="17.875" style="277" customWidth="1"/>
    <col min="4099" max="4099" width="10" style="277" customWidth="1"/>
    <col min="4100" max="4100" width="2.375" style="277" customWidth="1"/>
    <col min="4101" max="4101" width="6.125" style="277" customWidth="1"/>
    <col min="4102" max="4102" width="7.125" style="277" customWidth="1"/>
    <col min="4103" max="4103" width="1.875" style="277" customWidth="1"/>
    <col min="4104" max="4105" width="7.125" style="277" customWidth="1"/>
    <col min="4106" max="4106" width="2.125" style="277" customWidth="1"/>
    <col min="4107" max="4107" width="12.125" style="277" customWidth="1"/>
    <col min="4108" max="4108" width="5.875" style="277" customWidth="1"/>
    <col min="4109" max="4109" width="5.5" style="277" customWidth="1"/>
    <col min="4110" max="4111" width="8.375" style="277" customWidth="1"/>
    <col min="4112" max="4352" width="10" style="277"/>
    <col min="4353" max="4353" width="3.125" style="277" customWidth="1"/>
    <col min="4354" max="4354" width="17.875" style="277" customWidth="1"/>
    <col min="4355" max="4355" width="10" style="277" customWidth="1"/>
    <col min="4356" max="4356" width="2.375" style="277" customWidth="1"/>
    <col min="4357" max="4357" width="6.125" style="277" customWidth="1"/>
    <col min="4358" max="4358" width="7.125" style="277" customWidth="1"/>
    <col min="4359" max="4359" width="1.875" style="277" customWidth="1"/>
    <col min="4360" max="4361" width="7.125" style="277" customWidth="1"/>
    <col min="4362" max="4362" width="2.125" style="277" customWidth="1"/>
    <col min="4363" max="4363" width="12.125" style="277" customWidth="1"/>
    <col min="4364" max="4364" width="5.875" style="277" customWidth="1"/>
    <col min="4365" max="4365" width="5.5" style="277" customWidth="1"/>
    <col min="4366" max="4367" width="8.375" style="277" customWidth="1"/>
    <col min="4368" max="4608" width="10" style="277"/>
    <col min="4609" max="4609" width="3.125" style="277" customWidth="1"/>
    <col min="4610" max="4610" width="17.875" style="277" customWidth="1"/>
    <col min="4611" max="4611" width="10" style="277" customWidth="1"/>
    <col min="4612" max="4612" width="2.375" style="277" customWidth="1"/>
    <col min="4613" max="4613" width="6.125" style="277" customWidth="1"/>
    <col min="4614" max="4614" width="7.125" style="277" customWidth="1"/>
    <col min="4615" max="4615" width="1.875" style="277" customWidth="1"/>
    <col min="4616" max="4617" width="7.125" style="277" customWidth="1"/>
    <col min="4618" max="4618" width="2.125" style="277" customWidth="1"/>
    <col min="4619" max="4619" width="12.125" style="277" customWidth="1"/>
    <col min="4620" max="4620" width="5.875" style="277" customWidth="1"/>
    <col min="4621" max="4621" width="5.5" style="277" customWidth="1"/>
    <col min="4622" max="4623" width="8.375" style="277" customWidth="1"/>
    <col min="4624" max="4864" width="10" style="277"/>
    <col min="4865" max="4865" width="3.125" style="277" customWidth="1"/>
    <col min="4866" max="4866" width="17.875" style="277" customWidth="1"/>
    <col min="4867" max="4867" width="10" style="277" customWidth="1"/>
    <col min="4868" max="4868" width="2.375" style="277" customWidth="1"/>
    <col min="4869" max="4869" width="6.125" style="277" customWidth="1"/>
    <col min="4870" max="4870" width="7.125" style="277" customWidth="1"/>
    <col min="4871" max="4871" width="1.875" style="277" customWidth="1"/>
    <col min="4872" max="4873" width="7.125" style="277" customWidth="1"/>
    <col min="4874" max="4874" width="2.125" style="277" customWidth="1"/>
    <col min="4875" max="4875" width="12.125" style="277" customWidth="1"/>
    <col min="4876" max="4876" width="5.875" style="277" customWidth="1"/>
    <col min="4877" max="4877" width="5.5" style="277" customWidth="1"/>
    <col min="4878" max="4879" width="8.375" style="277" customWidth="1"/>
    <col min="4880" max="5120" width="10" style="277"/>
    <col min="5121" max="5121" width="3.125" style="277" customWidth="1"/>
    <col min="5122" max="5122" width="17.875" style="277" customWidth="1"/>
    <col min="5123" max="5123" width="10" style="277" customWidth="1"/>
    <col min="5124" max="5124" width="2.375" style="277" customWidth="1"/>
    <col min="5125" max="5125" width="6.125" style="277" customWidth="1"/>
    <col min="5126" max="5126" width="7.125" style="277" customWidth="1"/>
    <col min="5127" max="5127" width="1.875" style="277" customWidth="1"/>
    <col min="5128" max="5129" width="7.125" style="277" customWidth="1"/>
    <col min="5130" max="5130" width="2.125" style="277" customWidth="1"/>
    <col min="5131" max="5131" width="12.125" style="277" customWidth="1"/>
    <col min="5132" max="5132" width="5.875" style="277" customWidth="1"/>
    <col min="5133" max="5133" width="5.5" style="277" customWidth="1"/>
    <col min="5134" max="5135" width="8.375" style="277" customWidth="1"/>
    <col min="5136" max="5376" width="10" style="277"/>
    <col min="5377" max="5377" width="3.125" style="277" customWidth="1"/>
    <col min="5378" max="5378" width="17.875" style="277" customWidth="1"/>
    <col min="5379" max="5379" width="10" style="277" customWidth="1"/>
    <col min="5380" max="5380" width="2.375" style="277" customWidth="1"/>
    <col min="5381" max="5381" width="6.125" style="277" customWidth="1"/>
    <col min="5382" max="5382" width="7.125" style="277" customWidth="1"/>
    <col min="5383" max="5383" width="1.875" style="277" customWidth="1"/>
    <col min="5384" max="5385" width="7.125" style="277" customWidth="1"/>
    <col min="5386" max="5386" width="2.125" style="277" customWidth="1"/>
    <col min="5387" max="5387" width="12.125" style="277" customWidth="1"/>
    <col min="5388" max="5388" width="5.875" style="277" customWidth="1"/>
    <col min="5389" max="5389" width="5.5" style="277" customWidth="1"/>
    <col min="5390" max="5391" width="8.375" style="277" customWidth="1"/>
    <col min="5392" max="5632" width="10" style="277"/>
    <col min="5633" max="5633" width="3.125" style="277" customWidth="1"/>
    <col min="5634" max="5634" width="17.875" style="277" customWidth="1"/>
    <col min="5635" max="5635" width="10" style="277" customWidth="1"/>
    <col min="5636" max="5636" width="2.375" style="277" customWidth="1"/>
    <col min="5637" max="5637" width="6.125" style="277" customWidth="1"/>
    <col min="5638" max="5638" width="7.125" style="277" customWidth="1"/>
    <col min="5639" max="5639" width="1.875" style="277" customWidth="1"/>
    <col min="5640" max="5641" width="7.125" style="277" customWidth="1"/>
    <col min="5642" max="5642" width="2.125" style="277" customWidth="1"/>
    <col min="5643" max="5643" width="12.125" style="277" customWidth="1"/>
    <col min="5644" max="5644" width="5.875" style="277" customWidth="1"/>
    <col min="5645" max="5645" width="5.5" style="277" customWidth="1"/>
    <col min="5646" max="5647" width="8.375" style="277" customWidth="1"/>
    <col min="5648" max="5888" width="10" style="277"/>
    <col min="5889" max="5889" width="3.125" style="277" customWidth="1"/>
    <col min="5890" max="5890" width="17.875" style="277" customWidth="1"/>
    <col min="5891" max="5891" width="10" style="277" customWidth="1"/>
    <col min="5892" max="5892" width="2.375" style="277" customWidth="1"/>
    <col min="5893" max="5893" width="6.125" style="277" customWidth="1"/>
    <col min="5894" max="5894" width="7.125" style="277" customWidth="1"/>
    <col min="5895" max="5895" width="1.875" style="277" customWidth="1"/>
    <col min="5896" max="5897" width="7.125" style="277" customWidth="1"/>
    <col min="5898" max="5898" width="2.125" style="277" customWidth="1"/>
    <col min="5899" max="5899" width="12.125" style="277" customWidth="1"/>
    <col min="5900" max="5900" width="5.875" style="277" customWidth="1"/>
    <col min="5901" max="5901" width="5.5" style="277" customWidth="1"/>
    <col min="5902" max="5903" width="8.375" style="277" customWidth="1"/>
    <col min="5904" max="6144" width="10" style="277"/>
    <col min="6145" max="6145" width="3.125" style="277" customWidth="1"/>
    <col min="6146" max="6146" width="17.875" style="277" customWidth="1"/>
    <col min="6147" max="6147" width="10" style="277" customWidth="1"/>
    <col min="6148" max="6148" width="2.375" style="277" customWidth="1"/>
    <col min="6149" max="6149" width="6.125" style="277" customWidth="1"/>
    <col min="6150" max="6150" width="7.125" style="277" customWidth="1"/>
    <col min="6151" max="6151" width="1.875" style="277" customWidth="1"/>
    <col min="6152" max="6153" width="7.125" style="277" customWidth="1"/>
    <col min="6154" max="6154" width="2.125" style="277" customWidth="1"/>
    <col min="6155" max="6155" width="12.125" style="277" customWidth="1"/>
    <col min="6156" max="6156" width="5.875" style="277" customWidth="1"/>
    <col min="6157" max="6157" width="5.5" style="277" customWidth="1"/>
    <col min="6158" max="6159" width="8.375" style="277" customWidth="1"/>
    <col min="6160" max="6400" width="10" style="277"/>
    <col min="6401" max="6401" width="3.125" style="277" customWidth="1"/>
    <col min="6402" max="6402" width="17.875" style="277" customWidth="1"/>
    <col min="6403" max="6403" width="10" style="277" customWidth="1"/>
    <col min="6404" max="6404" width="2.375" style="277" customWidth="1"/>
    <col min="6405" max="6405" width="6.125" style="277" customWidth="1"/>
    <col min="6406" max="6406" width="7.125" style="277" customWidth="1"/>
    <col min="6407" max="6407" width="1.875" style="277" customWidth="1"/>
    <col min="6408" max="6409" width="7.125" style="277" customWidth="1"/>
    <col min="6410" max="6410" width="2.125" style="277" customWidth="1"/>
    <col min="6411" max="6411" width="12.125" style="277" customWidth="1"/>
    <col min="6412" max="6412" width="5.875" style="277" customWidth="1"/>
    <col min="6413" max="6413" width="5.5" style="277" customWidth="1"/>
    <col min="6414" max="6415" width="8.375" style="277" customWidth="1"/>
    <col min="6416" max="6656" width="10" style="277"/>
    <col min="6657" max="6657" width="3.125" style="277" customWidth="1"/>
    <col min="6658" max="6658" width="17.875" style="277" customWidth="1"/>
    <col min="6659" max="6659" width="10" style="277" customWidth="1"/>
    <col min="6660" max="6660" width="2.375" style="277" customWidth="1"/>
    <col min="6661" max="6661" width="6.125" style="277" customWidth="1"/>
    <col min="6662" max="6662" width="7.125" style="277" customWidth="1"/>
    <col min="6663" max="6663" width="1.875" style="277" customWidth="1"/>
    <col min="6664" max="6665" width="7.125" style="277" customWidth="1"/>
    <col min="6666" max="6666" width="2.125" style="277" customWidth="1"/>
    <col min="6667" max="6667" width="12.125" style="277" customWidth="1"/>
    <col min="6668" max="6668" width="5.875" style="277" customWidth="1"/>
    <col min="6669" max="6669" width="5.5" style="277" customWidth="1"/>
    <col min="6670" max="6671" width="8.375" style="277" customWidth="1"/>
    <col min="6672" max="6912" width="10" style="277"/>
    <col min="6913" max="6913" width="3.125" style="277" customWidth="1"/>
    <col min="6914" max="6914" width="17.875" style="277" customWidth="1"/>
    <col min="6915" max="6915" width="10" style="277" customWidth="1"/>
    <col min="6916" max="6916" width="2.375" style="277" customWidth="1"/>
    <col min="6917" max="6917" width="6.125" style="277" customWidth="1"/>
    <col min="6918" max="6918" width="7.125" style="277" customWidth="1"/>
    <col min="6919" max="6919" width="1.875" style="277" customWidth="1"/>
    <col min="6920" max="6921" width="7.125" style="277" customWidth="1"/>
    <col min="6922" max="6922" width="2.125" style="277" customWidth="1"/>
    <col min="6923" max="6923" width="12.125" style="277" customWidth="1"/>
    <col min="6924" max="6924" width="5.875" style="277" customWidth="1"/>
    <col min="6925" max="6925" width="5.5" style="277" customWidth="1"/>
    <col min="6926" max="6927" width="8.375" style="277" customWidth="1"/>
    <col min="6928" max="7168" width="10" style="277"/>
    <col min="7169" max="7169" width="3.125" style="277" customWidth="1"/>
    <col min="7170" max="7170" width="17.875" style="277" customWidth="1"/>
    <col min="7171" max="7171" width="10" style="277" customWidth="1"/>
    <col min="7172" max="7172" width="2.375" style="277" customWidth="1"/>
    <col min="7173" max="7173" width="6.125" style="277" customWidth="1"/>
    <col min="7174" max="7174" width="7.125" style="277" customWidth="1"/>
    <col min="7175" max="7175" width="1.875" style="277" customWidth="1"/>
    <col min="7176" max="7177" width="7.125" style="277" customWidth="1"/>
    <col min="7178" max="7178" width="2.125" style="277" customWidth="1"/>
    <col min="7179" max="7179" width="12.125" style="277" customWidth="1"/>
    <col min="7180" max="7180" width="5.875" style="277" customWidth="1"/>
    <col min="7181" max="7181" width="5.5" style="277" customWidth="1"/>
    <col min="7182" max="7183" width="8.375" style="277" customWidth="1"/>
    <col min="7184" max="7424" width="10" style="277"/>
    <col min="7425" max="7425" width="3.125" style="277" customWidth="1"/>
    <col min="7426" max="7426" width="17.875" style="277" customWidth="1"/>
    <col min="7427" max="7427" width="10" style="277" customWidth="1"/>
    <col min="7428" max="7428" width="2.375" style="277" customWidth="1"/>
    <col min="7429" max="7429" width="6.125" style="277" customWidth="1"/>
    <col min="7430" max="7430" width="7.125" style="277" customWidth="1"/>
    <col min="7431" max="7431" width="1.875" style="277" customWidth="1"/>
    <col min="7432" max="7433" width="7.125" style="277" customWidth="1"/>
    <col min="7434" max="7434" width="2.125" style="277" customWidth="1"/>
    <col min="7435" max="7435" width="12.125" style="277" customWidth="1"/>
    <col min="7436" max="7436" width="5.875" style="277" customWidth="1"/>
    <col min="7437" max="7437" width="5.5" style="277" customWidth="1"/>
    <col min="7438" max="7439" width="8.375" style="277" customWidth="1"/>
    <col min="7440" max="7680" width="10" style="277"/>
    <col min="7681" max="7681" width="3.125" style="277" customWidth="1"/>
    <col min="7682" max="7682" width="17.875" style="277" customWidth="1"/>
    <col min="7683" max="7683" width="10" style="277" customWidth="1"/>
    <col min="7684" max="7684" width="2.375" style="277" customWidth="1"/>
    <col min="7685" max="7685" width="6.125" style="277" customWidth="1"/>
    <col min="7686" max="7686" width="7.125" style="277" customWidth="1"/>
    <col min="7687" max="7687" width="1.875" style="277" customWidth="1"/>
    <col min="7688" max="7689" width="7.125" style="277" customWidth="1"/>
    <col min="7690" max="7690" width="2.125" style="277" customWidth="1"/>
    <col min="7691" max="7691" width="12.125" style="277" customWidth="1"/>
    <col min="7692" max="7692" width="5.875" style="277" customWidth="1"/>
    <col min="7693" max="7693" width="5.5" style="277" customWidth="1"/>
    <col min="7694" max="7695" width="8.375" style="277" customWidth="1"/>
    <col min="7696" max="7936" width="10" style="277"/>
    <col min="7937" max="7937" width="3.125" style="277" customWidth="1"/>
    <col min="7938" max="7938" width="17.875" style="277" customWidth="1"/>
    <col min="7939" max="7939" width="10" style="277" customWidth="1"/>
    <col min="7940" max="7940" width="2.375" style="277" customWidth="1"/>
    <col min="7941" max="7941" width="6.125" style="277" customWidth="1"/>
    <col min="7942" max="7942" width="7.125" style="277" customWidth="1"/>
    <col min="7943" max="7943" width="1.875" style="277" customWidth="1"/>
    <col min="7944" max="7945" width="7.125" style="277" customWidth="1"/>
    <col min="7946" max="7946" width="2.125" style="277" customWidth="1"/>
    <col min="7947" max="7947" width="12.125" style="277" customWidth="1"/>
    <col min="7948" max="7948" width="5.875" style="277" customWidth="1"/>
    <col min="7949" max="7949" width="5.5" style="277" customWidth="1"/>
    <col min="7950" max="7951" width="8.375" style="277" customWidth="1"/>
    <col min="7952" max="8192" width="10" style="277"/>
    <col min="8193" max="8193" width="3.125" style="277" customWidth="1"/>
    <col min="8194" max="8194" width="17.875" style="277" customWidth="1"/>
    <col min="8195" max="8195" width="10" style="277" customWidth="1"/>
    <col min="8196" max="8196" width="2.375" style="277" customWidth="1"/>
    <col min="8197" max="8197" width="6.125" style="277" customWidth="1"/>
    <col min="8198" max="8198" width="7.125" style="277" customWidth="1"/>
    <col min="8199" max="8199" width="1.875" style="277" customWidth="1"/>
    <col min="8200" max="8201" width="7.125" style="277" customWidth="1"/>
    <col min="8202" max="8202" width="2.125" style="277" customWidth="1"/>
    <col min="8203" max="8203" width="12.125" style="277" customWidth="1"/>
    <col min="8204" max="8204" width="5.875" style="277" customWidth="1"/>
    <col min="8205" max="8205" width="5.5" style="277" customWidth="1"/>
    <col min="8206" max="8207" width="8.375" style="277" customWidth="1"/>
    <col min="8208" max="8448" width="10" style="277"/>
    <col min="8449" max="8449" width="3.125" style="277" customWidth="1"/>
    <col min="8450" max="8450" width="17.875" style="277" customWidth="1"/>
    <col min="8451" max="8451" width="10" style="277" customWidth="1"/>
    <col min="8452" max="8452" width="2.375" style="277" customWidth="1"/>
    <col min="8453" max="8453" width="6.125" style="277" customWidth="1"/>
    <col min="8454" max="8454" width="7.125" style="277" customWidth="1"/>
    <col min="8455" max="8455" width="1.875" style="277" customWidth="1"/>
    <col min="8456" max="8457" width="7.125" style="277" customWidth="1"/>
    <col min="8458" max="8458" width="2.125" style="277" customWidth="1"/>
    <col min="8459" max="8459" width="12.125" style="277" customWidth="1"/>
    <col min="8460" max="8460" width="5.875" style="277" customWidth="1"/>
    <col min="8461" max="8461" width="5.5" style="277" customWidth="1"/>
    <col min="8462" max="8463" width="8.375" style="277" customWidth="1"/>
    <col min="8464" max="8704" width="10" style="277"/>
    <col min="8705" max="8705" width="3.125" style="277" customWidth="1"/>
    <col min="8706" max="8706" width="17.875" style="277" customWidth="1"/>
    <col min="8707" max="8707" width="10" style="277" customWidth="1"/>
    <col min="8708" max="8708" width="2.375" style="277" customWidth="1"/>
    <col min="8709" max="8709" width="6.125" style="277" customWidth="1"/>
    <col min="8710" max="8710" width="7.125" style="277" customWidth="1"/>
    <col min="8711" max="8711" width="1.875" style="277" customWidth="1"/>
    <col min="8712" max="8713" width="7.125" style="277" customWidth="1"/>
    <col min="8714" max="8714" width="2.125" style="277" customWidth="1"/>
    <col min="8715" max="8715" width="12.125" style="277" customWidth="1"/>
    <col min="8716" max="8716" width="5.875" style="277" customWidth="1"/>
    <col min="8717" max="8717" width="5.5" style="277" customWidth="1"/>
    <col min="8718" max="8719" width="8.375" style="277" customWidth="1"/>
    <col min="8720" max="8960" width="10" style="277"/>
    <col min="8961" max="8961" width="3.125" style="277" customWidth="1"/>
    <col min="8962" max="8962" width="17.875" style="277" customWidth="1"/>
    <col min="8963" max="8963" width="10" style="277" customWidth="1"/>
    <col min="8964" max="8964" width="2.375" style="277" customWidth="1"/>
    <col min="8965" max="8965" width="6.125" style="277" customWidth="1"/>
    <col min="8966" max="8966" width="7.125" style="277" customWidth="1"/>
    <col min="8967" max="8967" width="1.875" style="277" customWidth="1"/>
    <col min="8968" max="8969" width="7.125" style="277" customWidth="1"/>
    <col min="8970" max="8970" width="2.125" style="277" customWidth="1"/>
    <col min="8971" max="8971" width="12.125" style="277" customWidth="1"/>
    <col min="8972" max="8972" width="5.875" style="277" customWidth="1"/>
    <col min="8973" max="8973" width="5.5" style="277" customWidth="1"/>
    <col min="8974" max="8975" width="8.375" style="277" customWidth="1"/>
    <col min="8976" max="9216" width="10" style="277"/>
    <col min="9217" max="9217" width="3.125" style="277" customWidth="1"/>
    <col min="9218" max="9218" width="17.875" style="277" customWidth="1"/>
    <col min="9219" max="9219" width="10" style="277" customWidth="1"/>
    <col min="9220" max="9220" width="2.375" style="277" customWidth="1"/>
    <col min="9221" max="9221" width="6.125" style="277" customWidth="1"/>
    <col min="9222" max="9222" width="7.125" style="277" customWidth="1"/>
    <col min="9223" max="9223" width="1.875" style="277" customWidth="1"/>
    <col min="9224" max="9225" width="7.125" style="277" customWidth="1"/>
    <col min="9226" max="9226" width="2.125" style="277" customWidth="1"/>
    <col min="9227" max="9227" width="12.125" style="277" customWidth="1"/>
    <col min="9228" max="9228" width="5.875" style="277" customWidth="1"/>
    <col min="9229" max="9229" width="5.5" style="277" customWidth="1"/>
    <col min="9230" max="9231" width="8.375" style="277" customWidth="1"/>
    <col min="9232" max="9472" width="10" style="277"/>
    <col min="9473" max="9473" width="3.125" style="277" customWidth="1"/>
    <col min="9474" max="9474" width="17.875" style="277" customWidth="1"/>
    <col min="9475" max="9475" width="10" style="277" customWidth="1"/>
    <col min="9476" max="9476" width="2.375" style="277" customWidth="1"/>
    <col min="9477" max="9477" width="6.125" style="277" customWidth="1"/>
    <col min="9478" max="9478" width="7.125" style="277" customWidth="1"/>
    <col min="9479" max="9479" width="1.875" style="277" customWidth="1"/>
    <col min="9480" max="9481" width="7.125" style="277" customWidth="1"/>
    <col min="9482" max="9482" width="2.125" style="277" customWidth="1"/>
    <col min="9483" max="9483" width="12.125" style="277" customWidth="1"/>
    <col min="9484" max="9484" width="5.875" style="277" customWidth="1"/>
    <col min="9485" max="9485" width="5.5" style="277" customWidth="1"/>
    <col min="9486" max="9487" width="8.375" style="277" customWidth="1"/>
    <col min="9488" max="9728" width="10" style="277"/>
    <col min="9729" max="9729" width="3.125" style="277" customWidth="1"/>
    <col min="9730" max="9730" width="17.875" style="277" customWidth="1"/>
    <col min="9731" max="9731" width="10" style="277" customWidth="1"/>
    <col min="9732" max="9732" width="2.375" style="277" customWidth="1"/>
    <col min="9733" max="9733" width="6.125" style="277" customWidth="1"/>
    <col min="9734" max="9734" width="7.125" style="277" customWidth="1"/>
    <col min="9735" max="9735" width="1.875" style="277" customWidth="1"/>
    <col min="9736" max="9737" width="7.125" style="277" customWidth="1"/>
    <col min="9738" max="9738" width="2.125" style="277" customWidth="1"/>
    <col min="9739" max="9739" width="12.125" style="277" customWidth="1"/>
    <col min="9740" max="9740" width="5.875" style="277" customWidth="1"/>
    <col min="9741" max="9741" width="5.5" style="277" customWidth="1"/>
    <col min="9742" max="9743" width="8.375" style="277" customWidth="1"/>
    <col min="9744" max="9984" width="10" style="277"/>
    <col min="9985" max="9985" width="3.125" style="277" customWidth="1"/>
    <col min="9986" max="9986" width="17.875" style="277" customWidth="1"/>
    <col min="9987" max="9987" width="10" style="277" customWidth="1"/>
    <col min="9988" max="9988" width="2.375" style="277" customWidth="1"/>
    <col min="9989" max="9989" width="6.125" style="277" customWidth="1"/>
    <col min="9990" max="9990" width="7.125" style="277" customWidth="1"/>
    <col min="9991" max="9991" width="1.875" style="277" customWidth="1"/>
    <col min="9992" max="9993" width="7.125" style="277" customWidth="1"/>
    <col min="9994" max="9994" width="2.125" style="277" customWidth="1"/>
    <col min="9995" max="9995" width="12.125" style="277" customWidth="1"/>
    <col min="9996" max="9996" width="5.875" style="277" customWidth="1"/>
    <col min="9997" max="9997" width="5.5" style="277" customWidth="1"/>
    <col min="9998" max="9999" width="8.375" style="277" customWidth="1"/>
    <col min="10000" max="10240" width="10" style="277"/>
    <col min="10241" max="10241" width="3.125" style="277" customWidth="1"/>
    <col min="10242" max="10242" width="17.875" style="277" customWidth="1"/>
    <col min="10243" max="10243" width="10" style="277" customWidth="1"/>
    <col min="10244" max="10244" width="2.375" style="277" customWidth="1"/>
    <col min="10245" max="10245" width="6.125" style="277" customWidth="1"/>
    <col min="10246" max="10246" width="7.125" style="277" customWidth="1"/>
    <col min="10247" max="10247" width="1.875" style="277" customWidth="1"/>
    <col min="10248" max="10249" width="7.125" style="277" customWidth="1"/>
    <col min="10250" max="10250" width="2.125" style="277" customWidth="1"/>
    <col min="10251" max="10251" width="12.125" style="277" customWidth="1"/>
    <col min="10252" max="10252" width="5.875" style="277" customWidth="1"/>
    <col min="10253" max="10253" width="5.5" style="277" customWidth="1"/>
    <col min="10254" max="10255" width="8.375" style="277" customWidth="1"/>
    <col min="10256" max="10496" width="10" style="277"/>
    <col min="10497" max="10497" width="3.125" style="277" customWidth="1"/>
    <col min="10498" max="10498" width="17.875" style="277" customWidth="1"/>
    <col min="10499" max="10499" width="10" style="277" customWidth="1"/>
    <col min="10500" max="10500" width="2.375" style="277" customWidth="1"/>
    <col min="10501" max="10501" width="6.125" style="277" customWidth="1"/>
    <col min="10502" max="10502" width="7.125" style="277" customWidth="1"/>
    <col min="10503" max="10503" width="1.875" style="277" customWidth="1"/>
    <col min="10504" max="10505" width="7.125" style="277" customWidth="1"/>
    <col min="10506" max="10506" width="2.125" style="277" customWidth="1"/>
    <col min="10507" max="10507" width="12.125" style="277" customWidth="1"/>
    <col min="10508" max="10508" width="5.875" style="277" customWidth="1"/>
    <col min="10509" max="10509" width="5.5" style="277" customWidth="1"/>
    <col min="10510" max="10511" width="8.375" style="277" customWidth="1"/>
    <col min="10512" max="10752" width="10" style="277"/>
    <col min="10753" max="10753" width="3.125" style="277" customWidth="1"/>
    <col min="10754" max="10754" width="17.875" style="277" customWidth="1"/>
    <col min="10755" max="10755" width="10" style="277" customWidth="1"/>
    <col min="10756" max="10756" width="2.375" style="277" customWidth="1"/>
    <col min="10757" max="10757" width="6.125" style="277" customWidth="1"/>
    <col min="10758" max="10758" width="7.125" style="277" customWidth="1"/>
    <col min="10759" max="10759" width="1.875" style="277" customWidth="1"/>
    <col min="10760" max="10761" width="7.125" style="277" customWidth="1"/>
    <col min="10762" max="10762" width="2.125" style="277" customWidth="1"/>
    <col min="10763" max="10763" width="12.125" style="277" customWidth="1"/>
    <col min="10764" max="10764" width="5.875" style="277" customWidth="1"/>
    <col min="10765" max="10765" width="5.5" style="277" customWidth="1"/>
    <col min="10766" max="10767" width="8.375" style="277" customWidth="1"/>
    <col min="10768" max="11008" width="10" style="277"/>
    <col min="11009" max="11009" width="3.125" style="277" customWidth="1"/>
    <col min="11010" max="11010" width="17.875" style="277" customWidth="1"/>
    <col min="11011" max="11011" width="10" style="277" customWidth="1"/>
    <col min="11012" max="11012" width="2.375" style="277" customWidth="1"/>
    <col min="11013" max="11013" width="6.125" style="277" customWidth="1"/>
    <col min="11014" max="11014" width="7.125" style="277" customWidth="1"/>
    <col min="11015" max="11015" width="1.875" style="277" customWidth="1"/>
    <col min="11016" max="11017" width="7.125" style="277" customWidth="1"/>
    <col min="11018" max="11018" width="2.125" style="277" customWidth="1"/>
    <col min="11019" max="11019" width="12.125" style="277" customWidth="1"/>
    <col min="11020" max="11020" width="5.875" style="277" customWidth="1"/>
    <col min="11021" max="11021" width="5.5" style="277" customWidth="1"/>
    <col min="11022" max="11023" width="8.375" style="277" customWidth="1"/>
    <col min="11024" max="11264" width="10" style="277"/>
    <col min="11265" max="11265" width="3.125" style="277" customWidth="1"/>
    <col min="11266" max="11266" width="17.875" style="277" customWidth="1"/>
    <col min="11267" max="11267" width="10" style="277" customWidth="1"/>
    <col min="11268" max="11268" width="2.375" style="277" customWidth="1"/>
    <col min="11269" max="11269" width="6.125" style="277" customWidth="1"/>
    <col min="11270" max="11270" width="7.125" style="277" customWidth="1"/>
    <col min="11271" max="11271" width="1.875" style="277" customWidth="1"/>
    <col min="11272" max="11273" width="7.125" style="277" customWidth="1"/>
    <col min="11274" max="11274" width="2.125" style="277" customWidth="1"/>
    <col min="11275" max="11275" width="12.125" style="277" customWidth="1"/>
    <col min="11276" max="11276" width="5.875" style="277" customWidth="1"/>
    <col min="11277" max="11277" width="5.5" style="277" customWidth="1"/>
    <col min="11278" max="11279" width="8.375" style="277" customWidth="1"/>
    <col min="11280" max="11520" width="10" style="277"/>
    <col min="11521" max="11521" width="3.125" style="277" customWidth="1"/>
    <col min="11522" max="11522" width="17.875" style="277" customWidth="1"/>
    <col min="11523" max="11523" width="10" style="277" customWidth="1"/>
    <col min="11524" max="11524" width="2.375" style="277" customWidth="1"/>
    <col min="11525" max="11525" width="6.125" style="277" customWidth="1"/>
    <col min="11526" max="11526" width="7.125" style="277" customWidth="1"/>
    <col min="11527" max="11527" width="1.875" style="277" customWidth="1"/>
    <col min="11528" max="11529" width="7.125" style="277" customWidth="1"/>
    <col min="11530" max="11530" width="2.125" style="277" customWidth="1"/>
    <col min="11531" max="11531" width="12.125" style="277" customWidth="1"/>
    <col min="11532" max="11532" width="5.875" style="277" customWidth="1"/>
    <col min="11533" max="11533" width="5.5" style="277" customWidth="1"/>
    <col min="11534" max="11535" width="8.375" style="277" customWidth="1"/>
    <col min="11536" max="11776" width="10" style="277"/>
    <col min="11777" max="11777" width="3.125" style="277" customWidth="1"/>
    <col min="11778" max="11778" width="17.875" style="277" customWidth="1"/>
    <col min="11779" max="11779" width="10" style="277" customWidth="1"/>
    <col min="11780" max="11780" width="2.375" style="277" customWidth="1"/>
    <col min="11781" max="11781" width="6.125" style="277" customWidth="1"/>
    <col min="11782" max="11782" width="7.125" style="277" customWidth="1"/>
    <col min="11783" max="11783" width="1.875" style="277" customWidth="1"/>
    <col min="11784" max="11785" width="7.125" style="277" customWidth="1"/>
    <col min="11786" max="11786" width="2.125" style="277" customWidth="1"/>
    <col min="11787" max="11787" width="12.125" style="277" customWidth="1"/>
    <col min="11788" max="11788" width="5.875" style="277" customWidth="1"/>
    <col min="11789" max="11789" width="5.5" style="277" customWidth="1"/>
    <col min="11790" max="11791" width="8.375" style="277" customWidth="1"/>
    <col min="11792" max="12032" width="10" style="277"/>
    <col min="12033" max="12033" width="3.125" style="277" customWidth="1"/>
    <col min="12034" max="12034" width="17.875" style="277" customWidth="1"/>
    <col min="12035" max="12035" width="10" style="277" customWidth="1"/>
    <col min="12036" max="12036" width="2.375" style="277" customWidth="1"/>
    <col min="12037" max="12037" width="6.125" style="277" customWidth="1"/>
    <col min="12038" max="12038" width="7.125" style="277" customWidth="1"/>
    <col min="12039" max="12039" width="1.875" style="277" customWidth="1"/>
    <col min="12040" max="12041" width="7.125" style="277" customWidth="1"/>
    <col min="12042" max="12042" width="2.125" style="277" customWidth="1"/>
    <col min="12043" max="12043" width="12.125" style="277" customWidth="1"/>
    <col min="12044" max="12044" width="5.875" style="277" customWidth="1"/>
    <col min="12045" max="12045" width="5.5" style="277" customWidth="1"/>
    <col min="12046" max="12047" width="8.375" style="277" customWidth="1"/>
    <col min="12048" max="12288" width="10" style="277"/>
    <col min="12289" max="12289" width="3.125" style="277" customWidth="1"/>
    <col min="12290" max="12290" width="17.875" style="277" customWidth="1"/>
    <col min="12291" max="12291" width="10" style="277" customWidth="1"/>
    <col min="12292" max="12292" width="2.375" style="277" customWidth="1"/>
    <col min="12293" max="12293" width="6.125" style="277" customWidth="1"/>
    <col min="12294" max="12294" width="7.125" style="277" customWidth="1"/>
    <col min="12295" max="12295" width="1.875" style="277" customWidth="1"/>
    <col min="12296" max="12297" width="7.125" style="277" customWidth="1"/>
    <col min="12298" max="12298" width="2.125" style="277" customWidth="1"/>
    <col min="12299" max="12299" width="12.125" style="277" customWidth="1"/>
    <col min="12300" max="12300" width="5.875" style="277" customWidth="1"/>
    <col min="12301" max="12301" width="5.5" style="277" customWidth="1"/>
    <col min="12302" max="12303" width="8.375" style="277" customWidth="1"/>
    <col min="12304" max="12544" width="10" style="277"/>
    <col min="12545" max="12545" width="3.125" style="277" customWidth="1"/>
    <col min="12546" max="12546" width="17.875" style="277" customWidth="1"/>
    <col min="12547" max="12547" width="10" style="277" customWidth="1"/>
    <col min="12548" max="12548" width="2.375" style="277" customWidth="1"/>
    <col min="12549" max="12549" width="6.125" style="277" customWidth="1"/>
    <col min="12550" max="12550" width="7.125" style="277" customWidth="1"/>
    <col min="12551" max="12551" width="1.875" style="277" customWidth="1"/>
    <col min="12552" max="12553" width="7.125" style="277" customWidth="1"/>
    <col min="12554" max="12554" width="2.125" style="277" customWidth="1"/>
    <col min="12555" max="12555" width="12.125" style="277" customWidth="1"/>
    <col min="12556" max="12556" width="5.875" style="277" customWidth="1"/>
    <col min="12557" max="12557" width="5.5" style="277" customWidth="1"/>
    <col min="12558" max="12559" width="8.375" style="277" customWidth="1"/>
    <col min="12560" max="12800" width="10" style="277"/>
    <col min="12801" max="12801" width="3.125" style="277" customWidth="1"/>
    <col min="12802" max="12802" width="17.875" style="277" customWidth="1"/>
    <col min="12803" max="12803" width="10" style="277" customWidth="1"/>
    <col min="12804" max="12804" width="2.375" style="277" customWidth="1"/>
    <col min="12805" max="12805" width="6.125" style="277" customWidth="1"/>
    <col min="12806" max="12806" width="7.125" style="277" customWidth="1"/>
    <col min="12807" max="12807" width="1.875" style="277" customWidth="1"/>
    <col min="12808" max="12809" width="7.125" style="277" customWidth="1"/>
    <col min="12810" max="12810" width="2.125" style="277" customWidth="1"/>
    <col min="12811" max="12811" width="12.125" style="277" customWidth="1"/>
    <col min="12812" max="12812" width="5.875" style="277" customWidth="1"/>
    <col min="12813" max="12813" width="5.5" style="277" customWidth="1"/>
    <col min="12814" max="12815" width="8.375" style="277" customWidth="1"/>
    <col min="12816" max="13056" width="10" style="277"/>
    <col min="13057" max="13057" width="3.125" style="277" customWidth="1"/>
    <col min="13058" max="13058" width="17.875" style="277" customWidth="1"/>
    <col min="13059" max="13059" width="10" style="277" customWidth="1"/>
    <col min="13060" max="13060" width="2.375" style="277" customWidth="1"/>
    <col min="13061" max="13061" width="6.125" style="277" customWidth="1"/>
    <col min="13062" max="13062" width="7.125" style="277" customWidth="1"/>
    <col min="13063" max="13063" width="1.875" style="277" customWidth="1"/>
    <col min="13064" max="13065" width="7.125" style="277" customWidth="1"/>
    <col min="13066" max="13066" width="2.125" style="277" customWidth="1"/>
    <col min="13067" max="13067" width="12.125" style="277" customWidth="1"/>
    <col min="13068" max="13068" width="5.875" style="277" customWidth="1"/>
    <col min="13069" max="13069" width="5.5" style="277" customWidth="1"/>
    <col min="13070" max="13071" width="8.375" style="277" customWidth="1"/>
    <col min="13072" max="13312" width="10" style="277"/>
    <col min="13313" max="13313" width="3.125" style="277" customWidth="1"/>
    <col min="13314" max="13314" width="17.875" style="277" customWidth="1"/>
    <col min="13315" max="13315" width="10" style="277" customWidth="1"/>
    <col min="13316" max="13316" width="2.375" style="277" customWidth="1"/>
    <col min="13317" max="13317" width="6.125" style="277" customWidth="1"/>
    <col min="13318" max="13318" width="7.125" style="277" customWidth="1"/>
    <col min="13319" max="13319" width="1.875" style="277" customWidth="1"/>
    <col min="13320" max="13321" width="7.125" style="277" customWidth="1"/>
    <col min="13322" max="13322" width="2.125" style="277" customWidth="1"/>
    <col min="13323" max="13323" width="12.125" style="277" customWidth="1"/>
    <col min="13324" max="13324" width="5.875" style="277" customWidth="1"/>
    <col min="13325" max="13325" width="5.5" style="277" customWidth="1"/>
    <col min="13326" max="13327" width="8.375" style="277" customWidth="1"/>
    <col min="13328" max="13568" width="10" style="277"/>
    <col min="13569" max="13569" width="3.125" style="277" customWidth="1"/>
    <col min="13570" max="13570" width="17.875" style="277" customWidth="1"/>
    <col min="13571" max="13571" width="10" style="277" customWidth="1"/>
    <col min="13572" max="13572" width="2.375" style="277" customWidth="1"/>
    <col min="13573" max="13573" width="6.125" style="277" customWidth="1"/>
    <col min="13574" max="13574" width="7.125" style="277" customWidth="1"/>
    <col min="13575" max="13575" width="1.875" style="277" customWidth="1"/>
    <col min="13576" max="13577" width="7.125" style="277" customWidth="1"/>
    <col min="13578" max="13578" width="2.125" style="277" customWidth="1"/>
    <col min="13579" max="13579" width="12.125" style="277" customWidth="1"/>
    <col min="13580" max="13580" width="5.875" style="277" customWidth="1"/>
    <col min="13581" max="13581" width="5.5" style="277" customWidth="1"/>
    <col min="13582" max="13583" width="8.375" style="277" customWidth="1"/>
    <col min="13584" max="13824" width="10" style="277"/>
    <col min="13825" max="13825" width="3.125" style="277" customWidth="1"/>
    <col min="13826" max="13826" width="17.875" style="277" customWidth="1"/>
    <col min="13827" max="13827" width="10" style="277" customWidth="1"/>
    <col min="13828" max="13828" width="2.375" style="277" customWidth="1"/>
    <col min="13829" max="13829" width="6.125" style="277" customWidth="1"/>
    <col min="13830" max="13830" width="7.125" style="277" customWidth="1"/>
    <col min="13831" max="13831" width="1.875" style="277" customWidth="1"/>
    <col min="13832" max="13833" width="7.125" style="277" customWidth="1"/>
    <col min="13834" max="13834" width="2.125" style="277" customWidth="1"/>
    <col min="13835" max="13835" width="12.125" style="277" customWidth="1"/>
    <col min="13836" max="13836" width="5.875" style="277" customWidth="1"/>
    <col min="13837" max="13837" width="5.5" style="277" customWidth="1"/>
    <col min="13838" max="13839" width="8.375" style="277" customWidth="1"/>
    <col min="13840" max="14080" width="10" style="277"/>
    <col min="14081" max="14081" width="3.125" style="277" customWidth="1"/>
    <col min="14082" max="14082" width="17.875" style="277" customWidth="1"/>
    <col min="14083" max="14083" width="10" style="277" customWidth="1"/>
    <col min="14084" max="14084" width="2.375" style="277" customWidth="1"/>
    <col min="14085" max="14085" width="6.125" style="277" customWidth="1"/>
    <col min="14086" max="14086" width="7.125" style="277" customWidth="1"/>
    <col min="14087" max="14087" width="1.875" style="277" customWidth="1"/>
    <col min="14088" max="14089" width="7.125" style="277" customWidth="1"/>
    <col min="14090" max="14090" width="2.125" style="277" customWidth="1"/>
    <col min="14091" max="14091" width="12.125" style="277" customWidth="1"/>
    <col min="14092" max="14092" width="5.875" style="277" customWidth="1"/>
    <col min="14093" max="14093" width="5.5" style="277" customWidth="1"/>
    <col min="14094" max="14095" width="8.375" style="277" customWidth="1"/>
    <col min="14096" max="14336" width="10" style="277"/>
    <col min="14337" max="14337" width="3.125" style="277" customWidth="1"/>
    <col min="14338" max="14338" width="17.875" style="277" customWidth="1"/>
    <col min="14339" max="14339" width="10" style="277" customWidth="1"/>
    <col min="14340" max="14340" width="2.375" style="277" customWidth="1"/>
    <col min="14341" max="14341" width="6.125" style="277" customWidth="1"/>
    <col min="14342" max="14342" width="7.125" style="277" customWidth="1"/>
    <col min="14343" max="14343" width="1.875" style="277" customWidth="1"/>
    <col min="14344" max="14345" width="7.125" style="277" customWidth="1"/>
    <col min="14346" max="14346" width="2.125" style="277" customWidth="1"/>
    <col min="14347" max="14347" width="12.125" style="277" customWidth="1"/>
    <col min="14348" max="14348" width="5.875" style="277" customWidth="1"/>
    <col min="14349" max="14349" width="5.5" style="277" customWidth="1"/>
    <col min="14350" max="14351" width="8.375" style="277" customWidth="1"/>
    <col min="14352" max="14592" width="10" style="277"/>
    <col min="14593" max="14593" width="3.125" style="277" customWidth="1"/>
    <col min="14594" max="14594" width="17.875" style="277" customWidth="1"/>
    <col min="14595" max="14595" width="10" style="277" customWidth="1"/>
    <col min="14596" max="14596" width="2.375" style="277" customWidth="1"/>
    <col min="14597" max="14597" width="6.125" style="277" customWidth="1"/>
    <col min="14598" max="14598" width="7.125" style="277" customWidth="1"/>
    <col min="14599" max="14599" width="1.875" style="277" customWidth="1"/>
    <col min="14600" max="14601" width="7.125" style="277" customWidth="1"/>
    <col min="14602" max="14602" width="2.125" style="277" customWidth="1"/>
    <col min="14603" max="14603" width="12.125" style="277" customWidth="1"/>
    <col min="14604" max="14604" width="5.875" style="277" customWidth="1"/>
    <col min="14605" max="14605" width="5.5" style="277" customWidth="1"/>
    <col min="14606" max="14607" width="8.375" style="277" customWidth="1"/>
    <col min="14608" max="14848" width="10" style="277"/>
    <col min="14849" max="14849" width="3.125" style="277" customWidth="1"/>
    <col min="14850" max="14850" width="17.875" style="277" customWidth="1"/>
    <col min="14851" max="14851" width="10" style="277" customWidth="1"/>
    <col min="14852" max="14852" width="2.375" style="277" customWidth="1"/>
    <col min="14853" max="14853" width="6.125" style="277" customWidth="1"/>
    <col min="14854" max="14854" width="7.125" style="277" customWidth="1"/>
    <col min="14855" max="14855" width="1.875" style="277" customWidth="1"/>
    <col min="14856" max="14857" width="7.125" style="277" customWidth="1"/>
    <col min="14858" max="14858" width="2.125" style="277" customWidth="1"/>
    <col min="14859" max="14859" width="12.125" style="277" customWidth="1"/>
    <col min="14860" max="14860" width="5.875" style="277" customWidth="1"/>
    <col min="14861" max="14861" width="5.5" style="277" customWidth="1"/>
    <col min="14862" max="14863" width="8.375" style="277" customWidth="1"/>
    <col min="14864" max="15104" width="10" style="277"/>
    <col min="15105" max="15105" width="3.125" style="277" customWidth="1"/>
    <col min="15106" max="15106" width="17.875" style="277" customWidth="1"/>
    <col min="15107" max="15107" width="10" style="277" customWidth="1"/>
    <col min="15108" max="15108" width="2.375" style="277" customWidth="1"/>
    <col min="15109" max="15109" width="6.125" style="277" customWidth="1"/>
    <col min="15110" max="15110" width="7.125" style="277" customWidth="1"/>
    <col min="15111" max="15111" width="1.875" style="277" customWidth="1"/>
    <col min="15112" max="15113" width="7.125" style="277" customWidth="1"/>
    <col min="15114" max="15114" width="2.125" style="277" customWidth="1"/>
    <col min="15115" max="15115" width="12.125" style="277" customWidth="1"/>
    <col min="15116" max="15116" width="5.875" style="277" customWidth="1"/>
    <col min="15117" max="15117" width="5.5" style="277" customWidth="1"/>
    <col min="15118" max="15119" width="8.375" style="277" customWidth="1"/>
    <col min="15120" max="15360" width="10" style="277"/>
    <col min="15361" max="15361" width="3.125" style="277" customWidth="1"/>
    <col min="15362" max="15362" width="17.875" style="277" customWidth="1"/>
    <col min="15363" max="15363" width="10" style="277" customWidth="1"/>
    <col min="15364" max="15364" width="2.375" style="277" customWidth="1"/>
    <col min="15365" max="15365" width="6.125" style="277" customWidth="1"/>
    <col min="15366" max="15366" width="7.125" style="277" customWidth="1"/>
    <col min="15367" max="15367" width="1.875" style="277" customWidth="1"/>
    <col min="15368" max="15369" width="7.125" style="277" customWidth="1"/>
    <col min="15370" max="15370" width="2.125" style="277" customWidth="1"/>
    <col min="15371" max="15371" width="12.125" style="277" customWidth="1"/>
    <col min="15372" max="15372" width="5.875" style="277" customWidth="1"/>
    <col min="15373" max="15373" width="5.5" style="277" customWidth="1"/>
    <col min="15374" max="15375" width="8.375" style="277" customWidth="1"/>
    <col min="15376" max="15616" width="10" style="277"/>
    <col min="15617" max="15617" width="3.125" style="277" customWidth="1"/>
    <col min="15618" max="15618" width="17.875" style="277" customWidth="1"/>
    <col min="15619" max="15619" width="10" style="277" customWidth="1"/>
    <col min="15620" max="15620" width="2.375" style="277" customWidth="1"/>
    <col min="15621" max="15621" width="6.125" style="277" customWidth="1"/>
    <col min="15622" max="15622" width="7.125" style="277" customWidth="1"/>
    <col min="15623" max="15623" width="1.875" style="277" customWidth="1"/>
    <col min="15624" max="15625" width="7.125" style="277" customWidth="1"/>
    <col min="15626" max="15626" width="2.125" style="277" customWidth="1"/>
    <col min="15627" max="15627" width="12.125" style="277" customWidth="1"/>
    <col min="15628" max="15628" width="5.875" style="277" customWidth="1"/>
    <col min="15629" max="15629" width="5.5" style="277" customWidth="1"/>
    <col min="15630" max="15631" width="8.375" style="277" customWidth="1"/>
    <col min="15632" max="15872" width="10" style="277"/>
    <col min="15873" max="15873" width="3.125" style="277" customWidth="1"/>
    <col min="15874" max="15874" width="17.875" style="277" customWidth="1"/>
    <col min="15875" max="15875" width="10" style="277" customWidth="1"/>
    <col min="15876" max="15876" width="2.375" style="277" customWidth="1"/>
    <col min="15877" max="15877" width="6.125" style="277" customWidth="1"/>
    <col min="15878" max="15878" width="7.125" style="277" customWidth="1"/>
    <col min="15879" max="15879" width="1.875" style="277" customWidth="1"/>
    <col min="15880" max="15881" width="7.125" style="277" customWidth="1"/>
    <col min="15882" max="15882" width="2.125" style="277" customWidth="1"/>
    <col min="15883" max="15883" width="12.125" style="277" customWidth="1"/>
    <col min="15884" max="15884" width="5.875" style="277" customWidth="1"/>
    <col min="15885" max="15885" width="5.5" style="277" customWidth="1"/>
    <col min="15886" max="15887" width="8.375" style="277" customWidth="1"/>
    <col min="15888" max="16128" width="10" style="277"/>
    <col min="16129" max="16129" width="3.125" style="277" customWidth="1"/>
    <col min="16130" max="16130" width="17.875" style="277" customWidth="1"/>
    <col min="16131" max="16131" width="10" style="277" customWidth="1"/>
    <col min="16132" max="16132" width="2.375" style="277" customWidth="1"/>
    <col min="16133" max="16133" width="6.125" style="277" customWidth="1"/>
    <col min="16134" max="16134" width="7.125" style="277" customWidth="1"/>
    <col min="16135" max="16135" width="1.875" style="277" customWidth="1"/>
    <col min="16136" max="16137" width="7.125" style="277" customWidth="1"/>
    <col min="16138" max="16138" width="2.125" style="277" customWidth="1"/>
    <col min="16139" max="16139" width="12.125" style="277" customWidth="1"/>
    <col min="16140" max="16140" width="5.875" style="277" customWidth="1"/>
    <col min="16141" max="16141" width="5.5" style="277" customWidth="1"/>
    <col min="16142" max="16143" width="8.375" style="277" customWidth="1"/>
    <col min="16144" max="16384" width="10" style="277"/>
  </cols>
  <sheetData>
    <row r="1" spans="1:15" ht="14.25" customHeight="1">
      <c r="A1" s="275" t="s">
        <v>301</v>
      </c>
      <c r="B1" s="276"/>
      <c r="N1" s="278" t="s">
        <v>302</v>
      </c>
      <c r="O1" s="278" t="s">
        <v>303</v>
      </c>
    </row>
    <row r="2" spans="1:15" ht="14.25" customHeight="1">
      <c r="A2" s="279" t="s">
        <v>304</v>
      </c>
      <c r="B2" s="280" t="s">
        <v>305</v>
      </c>
    </row>
    <row r="3" spans="1:15" ht="14.25" customHeight="1">
      <c r="B3" s="281" t="s">
        <v>306</v>
      </c>
      <c r="C3" s="728">
        <v>2</v>
      </c>
      <c r="D3" s="729"/>
      <c r="E3" s="729"/>
      <c r="F3" s="730"/>
      <c r="G3" s="275"/>
    </row>
    <row r="4" spans="1:15" ht="14.25" customHeight="1">
      <c r="B4" s="282" t="s">
        <v>307</v>
      </c>
      <c r="C4" s="731" t="str">
        <f>①技術体系!D2</f>
        <v>平坦地</v>
      </c>
      <c r="D4" s="732"/>
      <c r="E4" s="732"/>
      <c r="F4" s="727"/>
    </row>
    <row r="5" spans="1:15" ht="14.25" customHeight="1">
      <c r="B5" s="283" t="s">
        <v>308</v>
      </c>
      <c r="C5" s="733" t="str">
        <f>①技術体系!A2</f>
        <v>ビール大麦</v>
      </c>
      <c r="D5" s="732"/>
      <c r="E5" s="732"/>
      <c r="F5" s="727"/>
    </row>
    <row r="6" spans="1:15" ht="14.25" customHeight="1">
      <c r="B6" s="734" t="s">
        <v>309</v>
      </c>
      <c r="C6" s="737" t="str">
        <f>①技術体系!B2&amp;"　、"&amp;①技術体系!C2&amp;"、"&amp;④収入!B3&amp;④収入!C3&amp;④収入!D3</f>
        <v>畦立条播　、サチホゴールデン、播種量7kg</v>
      </c>
      <c r="D6" s="738"/>
      <c r="E6" s="738"/>
      <c r="F6" s="739"/>
    </row>
    <row r="7" spans="1:15" ht="14.25" customHeight="1">
      <c r="B7" s="735"/>
      <c r="C7" s="740"/>
      <c r="D7" s="740"/>
      <c r="E7" s="740"/>
      <c r="F7" s="741"/>
    </row>
    <row r="8" spans="1:15" ht="14.25" customHeight="1">
      <c r="B8" s="735"/>
      <c r="C8" s="740"/>
      <c r="D8" s="740"/>
      <c r="E8" s="740"/>
      <c r="F8" s="741"/>
    </row>
    <row r="9" spans="1:15">
      <c r="B9" s="736"/>
      <c r="C9" s="742"/>
      <c r="D9" s="742"/>
      <c r="E9" s="742"/>
      <c r="F9" s="742"/>
    </row>
    <row r="10" spans="1:15" ht="14.25" customHeight="1">
      <c r="B10" s="280" t="s">
        <v>310</v>
      </c>
      <c r="E10" s="280" t="s">
        <v>311</v>
      </c>
      <c r="K10" s="280" t="s">
        <v>312</v>
      </c>
      <c r="M10" s="284"/>
    </row>
    <row r="11" spans="1:15" ht="14.25" customHeight="1">
      <c r="B11" s="281" t="s">
        <v>313</v>
      </c>
      <c r="C11" s="285">
        <f>④収入!B21</f>
        <v>280</v>
      </c>
      <c r="E11" s="281" t="s">
        <v>314</v>
      </c>
      <c r="F11" s="286">
        <f>作業体系表!D31</f>
        <v>0</v>
      </c>
      <c r="H11" s="281" t="s">
        <v>315</v>
      </c>
      <c r="I11" s="286">
        <f>作業体系表!V31</f>
        <v>0</v>
      </c>
      <c r="K11" s="283" t="s">
        <v>316</v>
      </c>
      <c r="L11" s="743" t="s">
        <v>582</v>
      </c>
      <c r="M11" s="727"/>
    </row>
    <row r="12" spans="1:15" ht="14.25" customHeight="1">
      <c r="B12" s="281" t="s">
        <v>317</v>
      </c>
      <c r="C12" s="285">
        <f>④収入!C21</f>
        <v>133</v>
      </c>
      <c r="E12" s="281" t="s">
        <v>318</v>
      </c>
      <c r="F12" s="286">
        <f>作業体系表!E31</f>
        <v>0</v>
      </c>
      <c r="H12" s="281" t="s">
        <v>319</v>
      </c>
      <c r="I12" s="286">
        <f>作業体系表!W31</f>
        <v>0</v>
      </c>
      <c r="K12" s="283" t="s">
        <v>320</v>
      </c>
      <c r="L12" s="744" t="s">
        <v>583</v>
      </c>
      <c r="M12" s="727"/>
    </row>
    <row r="13" spans="1:15" ht="14.25" customHeight="1">
      <c r="B13" s="282" t="s">
        <v>321</v>
      </c>
      <c r="C13" s="285">
        <f>④収入!E21+④収入!F21</f>
        <v>15000</v>
      </c>
      <c r="E13" s="281" t="s">
        <v>322</v>
      </c>
      <c r="F13" s="286">
        <f>作業体系表!F31</f>
        <v>0.64620963327859893</v>
      </c>
      <c r="H13" s="281" t="s">
        <v>323</v>
      </c>
      <c r="I13" s="286">
        <f>作業体系表!X31</f>
        <v>0</v>
      </c>
      <c r="K13" s="287" t="s">
        <v>324</v>
      </c>
      <c r="L13" s="288">
        <v>10</v>
      </c>
      <c r="M13" s="289" t="s">
        <v>135</v>
      </c>
    </row>
    <row r="14" spans="1:15" ht="14.25" customHeight="1">
      <c r="B14" s="282" t="s">
        <v>325</v>
      </c>
      <c r="C14" s="290">
        <f>C11*C12+C13</f>
        <v>52240</v>
      </c>
      <c r="E14" s="281" t="s">
        <v>326</v>
      </c>
      <c r="F14" s="286">
        <f>作業体系表!G31</f>
        <v>0.20833333333333331</v>
      </c>
      <c r="H14" s="281" t="s">
        <v>327</v>
      </c>
      <c r="I14" s="286">
        <f>作業体系表!Y31</f>
        <v>0</v>
      </c>
      <c r="K14" s="287" t="s">
        <v>328</v>
      </c>
      <c r="L14" s="288">
        <v>6</v>
      </c>
      <c r="M14" s="289" t="s">
        <v>133</v>
      </c>
    </row>
    <row r="15" spans="1:15" ht="14.25" customHeight="1">
      <c r="B15" s="280" t="s">
        <v>329</v>
      </c>
      <c r="E15" s="281" t="s">
        <v>330</v>
      </c>
      <c r="F15" s="286">
        <f>作業体系表!H31</f>
        <v>0.57870370370370372</v>
      </c>
      <c r="H15" s="281" t="s">
        <v>331</v>
      </c>
      <c r="I15" s="286">
        <f>作業体系表!Z31</f>
        <v>0</v>
      </c>
      <c r="K15" s="282" t="s">
        <v>332</v>
      </c>
      <c r="L15" s="726"/>
      <c r="M15" s="727"/>
    </row>
    <row r="16" spans="1:15" ht="14.25" customHeight="1">
      <c r="B16" s="282" t="s">
        <v>333</v>
      </c>
      <c r="C16" s="285">
        <f>経営収支!E7</f>
        <v>1750</v>
      </c>
      <c r="E16" s="281" t="s">
        <v>334</v>
      </c>
      <c r="F16" s="286">
        <f>作業体系表!I31</f>
        <v>0.64620963327859893</v>
      </c>
      <c r="H16" s="281" t="s">
        <v>335</v>
      </c>
      <c r="I16" s="286">
        <f>作業体系表!AA31</f>
        <v>0</v>
      </c>
      <c r="K16" s="282" t="s">
        <v>336</v>
      </c>
      <c r="L16" s="726"/>
      <c r="M16" s="727"/>
    </row>
    <row r="17" spans="2:13" ht="14.25" customHeight="1">
      <c r="B17" s="282" t="s">
        <v>337</v>
      </c>
      <c r="C17" s="285">
        <f>経営収支!E8</f>
        <v>7062</v>
      </c>
      <c r="E17" s="281" t="s">
        <v>338</v>
      </c>
      <c r="F17" s="286">
        <f>作業体系表!J31</f>
        <v>0.43787629994526556</v>
      </c>
      <c r="H17" s="281" t="s">
        <v>339</v>
      </c>
      <c r="I17" s="286">
        <f>作業体系表!AB31</f>
        <v>0</v>
      </c>
      <c r="K17" s="284"/>
      <c r="L17" s="291"/>
      <c r="M17" s="292"/>
    </row>
    <row r="18" spans="2:13" ht="14.25" customHeight="1">
      <c r="B18" s="282" t="s">
        <v>340</v>
      </c>
      <c r="C18" s="285">
        <f>経営収支!E9</f>
        <v>3478</v>
      </c>
      <c r="E18" s="281" t="s">
        <v>341</v>
      </c>
      <c r="F18" s="286">
        <f>作業体系表!K31</f>
        <v>0.43787629994526556</v>
      </c>
      <c r="H18" s="281" t="s">
        <v>342</v>
      </c>
      <c r="I18" s="286">
        <f>作業体系表!AC31</f>
        <v>0</v>
      </c>
      <c r="K18" s="284"/>
      <c r="L18" s="291"/>
      <c r="M18" s="291"/>
    </row>
    <row r="19" spans="2:13" ht="14.25" customHeight="1">
      <c r="B19" s="282" t="s">
        <v>343</v>
      </c>
      <c r="C19" s="285">
        <f>経営収支!E10</f>
        <v>2651</v>
      </c>
      <c r="E19" s="281" t="s">
        <v>344</v>
      </c>
      <c r="F19" s="286">
        <f>作業体系表!L31</f>
        <v>0</v>
      </c>
      <c r="H19" s="281" t="s">
        <v>345</v>
      </c>
      <c r="I19" s="286">
        <f>作業体系表!AD31</f>
        <v>0</v>
      </c>
      <c r="K19" s="284"/>
      <c r="L19" s="291"/>
      <c r="M19" s="291"/>
    </row>
    <row r="20" spans="2:13" ht="14.25" customHeight="1">
      <c r="B20" s="282" t="s">
        <v>346</v>
      </c>
      <c r="C20" s="285">
        <f>経営収支!E11</f>
        <v>0</v>
      </c>
      <c r="E20" s="281" t="s">
        <v>347</v>
      </c>
      <c r="F20" s="286">
        <f>作業体系表!M31</f>
        <v>0</v>
      </c>
      <c r="H20" s="281" t="s">
        <v>348</v>
      </c>
      <c r="I20" s="286">
        <f>作業体系表!AE31</f>
        <v>0</v>
      </c>
      <c r="K20" s="284"/>
      <c r="L20" s="291"/>
      <c r="M20" s="291"/>
    </row>
    <row r="21" spans="2:13" ht="14.25" customHeight="1">
      <c r="B21" s="282" t="s">
        <v>349</v>
      </c>
      <c r="C21" s="285">
        <f>経営収支!E13</f>
        <v>0</v>
      </c>
      <c r="E21" s="281" t="s">
        <v>350</v>
      </c>
      <c r="F21" s="286">
        <f>作業体系表!N31</f>
        <v>0.20525451559934321</v>
      </c>
      <c r="H21" s="281" t="s">
        <v>351</v>
      </c>
      <c r="I21" s="286">
        <f>作業体系表!AF31</f>
        <v>0</v>
      </c>
      <c r="K21" s="284"/>
      <c r="L21" s="291"/>
      <c r="M21" s="291"/>
    </row>
    <row r="22" spans="2:13" ht="14.25" customHeight="1">
      <c r="B22" s="282" t="s">
        <v>352</v>
      </c>
      <c r="C22" s="285">
        <f>経営収支!E14</f>
        <v>7280</v>
      </c>
      <c r="E22" s="281" t="s">
        <v>353</v>
      </c>
      <c r="F22" s="286">
        <f>作業体系表!O31</f>
        <v>0.20525451559934321</v>
      </c>
      <c r="H22" s="281" t="s">
        <v>354</v>
      </c>
      <c r="I22" s="286">
        <f>作業体系表!AG31</f>
        <v>1.6069220438689467</v>
      </c>
      <c r="K22" s="284"/>
      <c r="L22" s="291"/>
      <c r="M22" s="291"/>
    </row>
    <row r="23" spans="2:13" ht="14.25" customHeight="1">
      <c r="B23" s="282" t="s">
        <v>355</v>
      </c>
      <c r="C23" s="285">
        <f>経営収支!E29</f>
        <v>7249.1440000000002</v>
      </c>
      <c r="E23" s="281" t="s">
        <v>356</v>
      </c>
      <c r="F23" s="286">
        <f>作業体系表!P31</f>
        <v>0</v>
      </c>
      <c r="H23" s="281" t="s">
        <v>357</v>
      </c>
      <c r="I23" s="286">
        <f>作業体系表!AH31</f>
        <v>0</v>
      </c>
      <c r="K23" s="284"/>
      <c r="L23" s="291"/>
      <c r="M23" s="291"/>
    </row>
    <row r="24" spans="2:13" ht="14.25" customHeight="1">
      <c r="B24" s="282" t="s">
        <v>358</v>
      </c>
      <c r="C24" s="285">
        <f>経営収支!E12</f>
        <v>0</v>
      </c>
      <c r="E24" s="281" t="s">
        <v>359</v>
      </c>
      <c r="F24" s="286">
        <f>作業体系表!Q31</f>
        <v>0</v>
      </c>
      <c r="H24" s="281" t="s">
        <v>360</v>
      </c>
      <c r="I24" s="286">
        <f>作業体系表!AI31</f>
        <v>0</v>
      </c>
      <c r="K24" s="284"/>
      <c r="L24" s="291"/>
      <c r="M24" s="291"/>
    </row>
    <row r="25" spans="2:13" ht="14.25" customHeight="1">
      <c r="B25" s="282" t="s">
        <v>325</v>
      </c>
      <c r="C25" s="290">
        <f>SUM(C16:C24)</f>
        <v>29470.144</v>
      </c>
      <c r="E25" s="281" t="s">
        <v>361</v>
      </c>
      <c r="F25" s="286">
        <f>作業体系表!R31</f>
        <v>0</v>
      </c>
      <c r="H25" s="281" t="s">
        <v>362</v>
      </c>
      <c r="I25" s="286">
        <f>作業体系表!AJ31</f>
        <v>1.1973180076628354</v>
      </c>
      <c r="M25" s="291"/>
    </row>
    <row r="26" spans="2:13" ht="14.25" customHeight="1">
      <c r="B26" s="293"/>
      <c r="C26" s="284"/>
      <c r="E26" s="281" t="s">
        <v>363</v>
      </c>
      <c r="F26" s="286">
        <f>作業体系表!S31</f>
        <v>2.2037518037518038</v>
      </c>
      <c r="H26" s="281" t="s">
        <v>364</v>
      </c>
      <c r="I26" s="286">
        <f>作業体系表!AK31</f>
        <v>0</v>
      </c>
      <c r="K26" s="284"/>
      <c r="L26" s="291"/>
      <c r="M26" s="291"/>
    </row>
    <row r="27" spans="2:13" ht="14.25" customHeight="1">
      <c r="B27" s="282" t="s">
        <v>365</v>
      </c>
      <c r="C27" s="294">
        <f>C14-C25</f>
        <v>22769.856</v>
      </c>
      <c r="E27" s="281" t="s">
        <v>366</v>
      </c>
      <c r="F27" s="286">
        <f>作業体系表!T31</f>
        <v>0</v>
      </c>
      <c r="H27" s="281" t="s">
        <v>367</v>
      </c>
      <c r="I27" s="286">
        <f>作業体系表!AL31</f>
        <v>0</v>
      </c>
      <c r="K27" s="295"/>
      <c r="L27" s="296" t="s">
        <v>368</v>
      </c>
      <c r="M27" s="291"/>
    </row>
    <row r="28" spans="2:13">
      <c r="E28" s="281" t="s">
        <v>369</v>
      </c>
      <c r="F28" s="286">
        <f>作業体系表!U31</f>
        <v>0</v>
      </c>
      <c r="H28" s="281" t="s">
        <v>370</v>
      </c>
      <c r="I28" s="286">
        <f>作業体系表!AM31</f>
        <v>0</v>
      </c>
      <c r="K28" s="297"/>
      <c r="L28" s="298">
        <v>1</v>
      </c>
      <c r="M28" s="284"/>
    </row>
  </sheetData>
  <sheetProtection sheet="1" objects="1" scenarios="1"/>
  <mergeCells count="9">
    <mergeCell ref="L16:M16"/>
    <mergeCell ref="C3:F3"/>
    <mergeCell ref="C4:F4"/>
    <mergeCell ref="C5:F5"/>
    <mergeCell ref="B6:B9"/>
    <mergeCell ref="C6:F9"/>
    <mergeCell ref="L11:M11"/>
    <mergeCell ref="L12:M12"/>
    <mergeCell ref="L15:M15"/>
  </mergeCells>
  <phoneticPr fontId="14"/>
  <dataValidations count="6">
    <dataValidation type="list" allowBlank="1" showInputMessage="1" showErrorMessage="1" sqref="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formula1>"する,しない"</formula1>
    </dataValidation>
    <dataValidation type="list" allowBlank="1" showInputMessage="1" showErrorMessage="1" sqref="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8 JH65548 TD65548 ACZ65548 AMV65548 AWR65548 BGN65548 BQJ65548 CAF65548 CKB65548 CTX65548 DDT65548 DNP65548 DXL65548 EHH65548 ERD65548 FAZ65548 FKV65548 FUR65548 GEN65548 GOJ65548 GYF65548 HIB65548 HRX65548 IBT65548 ILP65548 IVL65548 JFH65548 JPD65548 JYZ65548 KIV65548 KSR65548 LCN65548 LMJ65548 LWF65548 MGB65548 MPX65548 MZT65548 NJP65548 NTL65548 ODH65548 OND65548 OWZ65548 PGV65548 PQR65548 QAN65548 QKJ65548 QUF65548 REB65548 RNX65548 RXT65548 SHP65548 SRL65548 TBH65548 TLD65548 TUZ65548 UEV65548 UOR65548 UYN65548 VIJ65548 VSF65548 WCB65548 WLX65548 WVT65548 L131084 JH131084 TD131084 ACZ131084 AMV131084 AWR131084 BGN131084 BQJ131084 CAF131084 CKB131084 CTX131084 DDT131084 DNP131084 DXL131084 EHH131084 ERD131084 FAZ131084 FKV131084 FUR131084 GEN131084 GOJ131084 GYF131084 HIB131084 HRX131084 IBT131084 ILP131084 IVL131084 JFH131084 JPD131084 JYZ131084 KIV131084 KSR131084 LCN131084 LMJ131084 LWF131084 MGB131084 MPX131084 MZT131084 NJP131084 NTL131084 ODH131084 OND131084 OWZ131084 PGV131084 PQR131084 QAN131084 QKJ131084 QUF131084 REB131084 RNX131084 RXT131084 SHP131084 SRL131084 TBH131084 TLD131084 TUZ131084 UEV131084 UOR131084 UYN131084 VIJ131084 VSF131084 WCB131084 WLX131084 WVT131084 L196620 JH196620 TD196620 ACZ196620 AMV196620 AWR196620 BGN196620 BQJ196620 CAF196620 CKB196620 CTX196620 DDT196620 DNP196620 DXL196620 EHH196620 ERD196620 FAZ196620 FKV196620 FUR196620 GEN196620 GOJ196620 GYF196620 HIB196620 HRX196620 IBT196620 ILP196620 IVL196620 JFH196620 JPD196620 JYZ196620 KIV196620 KSR196620 LCN196620 LMJ196620 LWF196620 MGB196620 MPX196620 MZT196620 NJP196620 NTL196620 ODH196620 OND196620 OWZ196620 PGV196620 PQR196620 QAN196620 QKJ196620 QUF196620 REB196620 RNX196620 RXT196620 SHP196620 SRL196620 TBH196620 TLD196620 TUZ196620 UEV196620 UOR196620 UYN196620 VIJ196620 VSF196620 WCB196620 WLX196620 WVT196620 L262156 JH262156 TD262156 ACZ262156 AMV262156 AWR262156 BGN262156 BQJ262156 CAF262156 CKB262156 CTX262156 DDT262156 DNP262156 DXL262156 EHH262156 ERD262156 FAZ262156 FKV262156 FUR262156 GEN262156 GOJ262156 GYF262156 HIB262156 HRX262156 IBT262156 ILP262156 IVL262156 JFH262156 JPD262156 JYZ262156 KIV262156 KSR262156 LCN262156 LMJ262156 LWF262156 MGB262156 MPX262156 MZT262156 NJP262156 NTL262156 ODH262156 OND262156 OWZ262156 PGV262156 PQR262156 QAN262156 QKJ262156 QUF262156 REB262156 RNX262156 RXT262156 SHP262156 SRL262156 TBH262156 TLD262156 TUZ262156 UEV262156 UOR262156 UYN262156 VIJ262156 VSF262156 WCB262156 WLX262156 WVT262156 L327692 JH327692 TD327692 ACZ327692 AMV327692 AWR327692 BGN327692 BQJ327692 CAF327692 CKB327692 CTX327692 DDT327692 DNP327692 DXL327692 EHH327692 ERD327692 FAZ327692 FKV327692 FUR327692 GEN327692 GOJ327692 GYF327692 HIB327692 HRX327692 IBT327692 ILP327692 IVL327692 JFH327692 JPD327692 JYZ327692 KIV327692 KSR327692 LCN327692 LMJ327692 LWF327692 MGB327692 MPX327692 MZT327692 NJP327692 NTL327692 ODH327692 OND327692 OWZ327692 PGV327692 PQR327692 QAN327692 QKJ327692 QUF327692 REB327692 RNX327692 RXT327692 SHP327692 SRL327692 TBH327692 TLD327692 TUZ327692 UEV327692 UOR327692 UYN327692 VIJ327692 VSF327692 WCB327692 WLX327692 WVT327692 L393228 JH393228 TD393228 ACZ393228 AMV393228 AWR393228 BGN393228 BQJ393228 CAF393228 CKB393228 CTX393228 DDT393228 DNP393228 DXL393228 EHH393228 ERD393228 FAZ393228 FKV393228 FUR393228 GEN393228 GOJ393228 GYF393228 HIB393228 HRX393228 IBT393228 ILP393228 IVL393228 JFH393228 JPD393228 JYZ393228 KIV393228 KSR393228 LCN393228 LMJ393228 LWF393228 MGB393228 MPX393228 MZT393228 NJP393228 NTL393228 ODH393228 OND393228 OWZ393228 PGV393228 PQR393228 QAN393228 QKJ393228 QUF393228 REB393228 RNX393228 RXT393228 SHP393228 SRL393228 TBH393228 TLD393228 TUZ393228 UEV393228 UOR393228 UYN393228 VIJ393228 VSF393228 WCB393228 WLX393228 WVT393228 L458764 JH458764 TD458764 ACZ458764 AMV458764 AWR458764 BGN458764 BQJ458764 CAF458764 CKB458764 CTX458764 DDT458764 DNP458764 DXL458764 EHH458764 ERD458764 FAZ458764 FKV458764 FUR458764 GEN458764 GOJ458764 GYF458764 HIB458764 HRX458764 IBT458764 ILP458764 IVL458764 JFH458764 JPD458764 JYZ458764 KIV458764 KSR458764 LCN458764 LMJ458764 LWF458764 MGB458764 MPX458764 MZT458764 NJP458764 NTL458764 ODH458764 OND458764 OWZ458764 PGV458764 PQR458764 QAN458764 QKJ458764 QUF458764 REB458764 RNX458764 RXT458764 SHP458764 SRL458764 TBH458764 TLD458764 TUZ458764 UEV458764 UOR458764 UYN458764 VIJ458764 VSF458764 WCB458764 WLX458764 WVT458764 L524300 JH524300 TD524300 ACZ524300 AMV524300 AWR524300 BGN524300 BQJ524300 CAF524300 CKB524300 CTX524300 DDT524300 DNP524300 DXL524300 EHH524300 ERD524300 FAZ524300 FKV524300 FUR524300 GEN524300 GOJ524300 GYF524300 HIB524300 HRX524300 IBT524300 ILP524300 IVL524300 JFH524300 JPD524300 JYZ524300 KIV524300 KSR524300 LCN524300 LMJ524300 LWF524300 MGB524300 MPX524300 MZT524300 NJP524300 NTL524300 ODH524300 OND524300 OWZ524300 PGV524300 PQR524300 QAN524300 QKJ524300 QUF524300 REB524300 RNX524300 RXT524300 SHP524300 SRL524300 TBH524300 TLD524300 TUZ524300 UEV524300 UOR524300 UYN524300 VIJ524300 VSF524300 WCB524300 WLX524300 WVT524300 L589836 JH589836 TD589836 ACZ589836 AMV589836 AWR589836 BGN589836 BQJ589836 CAF589836 CKB589836 CTX589836 DDT589836 DNP589836 DXL589836 EHH589836 ERD589836 FAZ589836 FKV589836 FUR589836 GEN589836 GOJ589836 GYF589836 HIB589836 HRX589836 IBT589836 ILP589836 IVL589836 JFH589836 JPD589836 JYZ589836 KIV589836 KSR589836 LCN589836 LMJ589836 LWF589836 MGB589836 MPX589836 MZT589836 NJP589836 NTL589836 ODH589836 OND589836 OWZ589836 PGV589836 PQR589836 QAN589836 QKJ589836 QUF589836 REB589836 RNX589836 RXT589836 SHP589836 SRL589836 TBH589836 TLD589836 TUZ589836 UEV589836 UOR589836 UYN589836 VIJ589836 VSF589836 WCB589836 WLX589836 WVT589836 L655372 JH655372 TD655372 ACZ655372 AMV655372 AWR655372 BGN655372 BQJ655372 CAF655372 CKB655372 CTX655372 DDT655372 DNP655372 DXL655372 EHH655372 ERD655372 FAZ655372 FKV655372 FUR655372 GEN655372 GOJ655372 GYF655372 HIB655372 HRX655372 IBT655372 ILP655372 IVL655372 JFH655372 JPD655372 JYZ655372 KIV655372 KSR655372 LCN655372 LMJ655372 LWF655372 MGB655372 MPX655372 MZT655372 NJP655372 NTL655372 ODH655372 OND655372 OWZ655372 PGV655372 PQR655372 QAN655372 QKJ655372 QUF655372 REB655372 RNX655372 RXT655372 SHP655372 SRL655372 TBH655372 TLD655372 TUZ655372 UEV655372 UOR655372 UYN655372 VIJ655372 VSF655372 WCB655372 WLX655372 WVT655372 L720908 JH720908 TD720908 ACZ720908 AMV720908 AWR720908 BGN720908 BQJ720908 CAF720908 CKB720908 CTX720908 DDT720908 DNP720908 DXL720908 EHH720908 ERD720908 FAZ720908 FKV720908 FUR720908 GEN720908 GOJ720908 GYF720908 HIB720908 HRX720908 IBT720908 ILP720908 IVL720908 JFH720908 JPD720908 JYZ720908 KIV720908 KSR720908 LCN720908 LMJ720908 LWF720908 MGB720908 MPX720908 MZT720908 NJP720908 NTL720908 ODH720908 OND720908 OWZ720908 PGV720908 PQR720908 QAN720908 QKJ720908 QUF720908 REB720908 RNX720908 RXT720908 SHP720908 SRL720908 TBH720908 TLD720908 TUZ720908 UEV720908 UOR720908 UYN720908 VIJ720908 VSF720908 WCB720908 WLX720908 WVT720908 L786444 JH786444 TD786444 ACZ786444 AMV786444 AWR786444 BGN786444 BQJ786444 CAF786444 CKB786444 CTX786444 DDT786444 DNP786444 DXL786444 EHH786444 ERD786444 FAZ786444 FKV786444 FUR786444 GEN786444 GOJ786444 GYF786444 HIB786444 HRX786444 IBT786444 ILP786444 IVL786444 JFH786444 JPD786444 JYZ786444 KIV786444 KSR786444 LCN786444 LMJ786444 LWF786444 MGB786444 MPX786444 MZT786444 NJP786444 NTL786444 ODH786444 OND786444 OWZ786444 PGV786444 PQR786444 QAN786444 QKJ786444 QUF786444 REB786444 RNX786444 RXT786444 SHP786444 SRL786444 TBH786444 TLD786444 TUZ786444 UEV786444 UOR786444 UYN786444 VIJ786444 VSF786444 WCB786444 WLX786444 WVT786444 L851980 JH851980 TD851980 ACZ851980 AMV851980 AWR851980 BGN851980 BQJ851980 CAF851980 CKB851980 CTX851980 DDT851980 DNP851980 DXL851980 EHH851980 ERD851980 FAZ851980 FKV851980 FUR851980 GEN851980 GOJ851980 GYF851980 HIB851980 HRX851980 IBT851980 ILP851980 IVL851980 JFH851980 JPD851980 JYZ851980 KIV851980 KSR851980 LCN851980 LMJ851980 LWF851980 MGB851980 MPX851980 MZT851980 NJP851980 NTL851980 ODH851980 OND851980 OWZ851980 PGV851980 PQR851980 QAN851980 QKJ851980 QUF851980 REB851980 RNX851980 RXT851980 SHP851980 SRL851980 TBH851980 TLD851980 TUZ851980 UEV851980 UOR851980 UYN851980 VIJ851980 VSF851980 WCB851980 WLX851980 WVT851980 L917516 JH917516 TD917516 ACZ917516 AMV917516 AWR917516 BGN917516 BQJ917516 CAF917516 CKB917516 CTX917516 DDT917516 DNP917516 DXL917516 EHH917516 ERD917516 FAZ917516 FKV917516 FUR917516 GEN917516 GOJ917516 GYF917516 HIB917516 HRX917516 IBT917516 ILP917516 IVL917516 JFH917516 JPD917516 JYZ917516 KIV917516 KSR917516 LCN917516 LMJ917516 LWF917516 MGB917516 MPX917516 MZT917516 NJP917516 NTL917516 ODH917516 OND917516 OWZ917516 PGV917516 PQR917516 QAN917516 QKJ917516 QUF917516 REB917516 RNX917516 RXT917516 SHP917516 SRL917516 TBH917516 TLD917516 TUZ917516 UEV917516 UOR917516 UYN917516 VIJ917516 VSF917516 WCB917516 WLX917516 WVT917516 L983052 JH983052 TD983052 ACZ983052 AMV983052 AWR983052 BGN983052 BQJ983052 CAF983052 CKB983052 CTX983052 DDT983052 DNP983052 DXL983052 EHH983052 ERD983052 FAZ983052 FKV983052 FUR983052 GEN983052 GOJ983052 GYF983052 HIB983052 HRX983052 IBT983052 ILP983052 IVL983052 JFH983052 JPD983052 JYZ983052 KIV983052 KSR983052 LCN983052 LMJ983052 LWF983052 MGB983052 MPX983052 MZT983052 NJP983052 NTL983052 ODH983052 OND983052 OWZ983052 PGV983052 PQR983052 QAN983052 QKJ983052 QUF983052 REB983052 RNX983052 RXT983052 SHP983052 SRL983052 TBH983052 TLD983052 TUZ983052 UEV983052 UOR983052 UYN983052 VIJ983052 VSF983052 WCB983052 WLX983052 WVT983052">
      <formula1>"該当する,該当しない"</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formula1>"田,畑,樹園地,ハウス等"</formula1>
    </dataValidation>
    <dataValidation imeMode="on" allowBlank="1" showInputMessage="1" showErrorMessage="1" sqref="C4:C6 IY4:IY6 SU4:SU6 ACQ4:ACQ6 AMM4:AMM6 AWI4:AWI6 BGE4:BGE6 BQA4:BQA6 BZW4:BZW6 CJS4:CJS6 CTO4:CTO6 DDK4:DDK6 DNG4:DNG6 DXC4:DXC6 EGY4:EGY6 EQU4:EQU6 FAQ4:FAQ6 FKM4:FKM6 FUI4:FUI6 GEE4:GEE6 GOA4:GOA6 GXW4:GXW6 HHS4:HHS6 HRO4:HRO6 IBK4:IBK6 ILG4:ILG6 IVC4:IVC6 JEY4:JEY6 JOU4:JOU6 JYQ4:JYQ6 KIM4:KIM6 KSI4:KSI6 LCE4:LCE6 LMA4:LMA6 LVW4:LVW6 MFS4:MFS6 MPO4:MPO6 MZK4:MZK6 NJG4:NJG6 NTC4:NTC6 OCY4:OCY6 OMU4:OMU6 OWQ4:OWQ6 PGM4:PGM6 PQI4:PQI6 QAE4:QAE6 QKA4:QKA6 QTW4:QTW6 RDS4:RDS6 RNO4:RNO6 RXK4:RXK6 SHG4:SHG6 SRC4:SRC6 TAY4:TAY6 TKU4:TKU6 TUQ4:TUQ6 UEM4:UEM6 UOI4:UOI6 UYE4:UYE6 VIA4:VIA6 VRW4:VRW6 WBS4:WBS6 WLO4:WLO6 WVK4:WVK6 C65540:C65542 IY65540:IY65542 SU65540:SU65542 ACQ65540:ACQ65542 AMM65540:AMM65542 AWI65540:AWI65542 BGE65540:BGE65542 BQA65540:BQA65542 BZW65540:BZW65542 CJS65540:CJS65542 CTO65540:CTO65542 DDK65540:DDK65542 DNG65540:DNG65542 DXC65540:DXC65542 EGY65540:EGY65542 EQU65540:EQU65542 FAQ65540:FAQ65542 FKM65540:FKM65542 FUI65540:FUI65542 GEE65540:GEE65542 GOA65540:GOA65542 GXW65540:GXW65542 HHS65540:HHS65542 HRO65540:HRO65542 IBK65540:IBK65542 ILG65540:ILG65542 IVC65540:IVC65542 JEY65540:JEY65542 JOU65540:JOU65542 JYQ65540:JYQ65542 KIM65540:KIM65542 KSI65540:KSI65542 LCE65540:LCE65542 LMA65540:LMA65542 LVW65540:LVW65542 MFS65540:MFS65542 MPO65540:MPO65542 MZK65540:MZK65542 NJG65540:NJG65542 NTC65540:NTC65542 OCY65540:OCY65542 OMU65540:OMU65542 OWQ65540:OWQ65542 PGM65540:PGM65542 PQI65540:PQI65542 QAE65540:QAE65542 QKA65540:QKA65542 QTW65540:QTW65542 RDS65540:RDS65542 RNO65540:RNO65542 RXK65540:RXK65542 SHG65540:SHG65542 SRC65540:SRC65542 TAY65540:TAY65542 TKU65540:TKU65542 TUQ65540:TUQ65542 UEM65540:UEM65542 UOI65540:UOI65542 UYE65540:UYE65542 VIA65540:VIA65542 VRW65540:VRW65542 WBS65540:WBS65542 WLO65540:WLO65542 WVK65540:WVK65542 C131076:C131078 IY131076:IY131078 SU131076:SU131078 ACQ131076:ACQ131078 AMM131076:AMM131078 AWI131076:AWI131078 BGE131076:BGE131078 BQA131076:BQA131078 BZW131076:BZW131078 CJS131076:CJS131078 CTO131076:CTO131078 DDK131076:DDK131078 DNG131076:DNG131078 DXC131076:DXC131078 EGY131076:EGY131078 EQU131076:EQU131078 FAQ131076:FAQ131078 FKM131076:FKM131078 FUI131076:FUI131078 GEE131076:GEE131078 GOA131076:GOA131078 GXW131076:GXW131078 HHS131076:HHS131078 HRO131076:HRO131078 IBK131076:IBK131078 ILG131076:ILG131078 IVC131076:IVC131078 JEY131076:JEY131078 JOU131076:JOU131078 JYQ131076:JYQ131078 KIM131076:KIM131078 KSI131076:KSI131078 LCE131076:LCE131078 LMA131076:LMA131078 LVW131076:LVW131078 MFS131076:MFS131078 MPO131076:MPO131078 MZK131076:MZK131078 NJG131076:NJG131078 NTC131076:NTC131078 OCY131076:OCY131078 OMU131076:OMU131078 OWQ131076:OWQ131078 PGM131076:PGM131078 PQI131076:PQI131078 QAE131076:QAE131078 QKA131076:QKA131078 QTW131076:QTW131078 RDS131076:RDS131078 RNO131076:RNO131078 RXK131076:RXK131078 SHG131076:SHG131078 SRC131076:SRC131078 TAY131076:TAY131078 TKU131076:TKU131078 TUQ131076:TUQ131078 UEM131076:UEM131078 UOI131076:UOI131078 UYE131076:UYE131078 VIA131076:VIA131078 VRW131076:VRW131078 WBS131076:WBS131078 WLO131076:WLO131078 WVK131076:WVK131078 C196612:C196614 IY196612:IY196614 SU196612:SU196614 ACQ196612:ACQ196614 AMM196612:AMM196614 AWI196612:AWI196614 BGE196612:BGE196614 BQA196612:BQA196614 BZW196612:BZW196614 CJS196612:CJS196614 CTO196612:CTO196614 DDK196612:DDK196614 DNG196612:DNG196614 DXC196612:DXC196614 EGY196612:EGY196614 EQU196612:EQU196614 FAQ196612:FAQ196614 FKM196612:FKM196614 FUI196612:FUI196614 GEE196612:GEE196614 GOA196612:GOA196614 GXW196612:GXW196614 HHS196612:HHS196614 HRO196612:HRO196614 IBK196612:IBK196614 ILG196612:ILG196614 IVC196612:IVC196614 JEY196612:JEY196614 JOU196612:JOU196614 JYQ196612:JYQ196614 KIM196612:KIM196614 KSI196612:KSI196614 LCE196612:LCE196614 LMA196612:LMA196614 LVW196612:LVW196614 MFS196612:MFS196614 MPO196612:MPO196614 MZK196612:MZK196614 NJG196612:NJG196614 NTC196612:NTC196614 OCY196612:OCY196614 OMU196612:OMU196614 OWQ196612:OWQ196614 PGM196612:PGM196614 PQI196612:PQI196614 QAE196612:QAE196614 QKA196612:QKA196614 QTW196612:QTW196614 RDS196612:RDS196614 RNO196612:RNO196614 RXK196612:RXK196614 SHG196612:SHG196614 SRC196612:SRC196614 TAY196612:TAY196614 TKU196612:TKU196614 TUQ196612:TUQ196614 UEM196612:UEM196614 UOI196612:UOI196614 UYE196612:UYE196614 VIA196612:VIA196614 VRW196612:VRW196614 WBS196612:WBS196614 WLO196612:WLO196614 WVK196612:WVK196614 C262148:C262150 IY262148:IY262150 SU262148:SU262150 ACQ262148:ACQ262150 AMM262148:AMM262150 AWI262148:AWI262150 BGE262148:BGE262150 BQA262148:BQA262150 BZW262148:BZW262150 CJS262148:CJS262150 CTO262148:CTO262150 DDK262148:DDK262150 DNG262148:DNG262150 DXC262148:DXC262150 EGY262148:EGY262150 EQU262148:EQU262150 FAQ262148:FAQ262150 FKM262148:FKM262150 FUI262148:FUI262150 GEE262148:GEE262150 GOA262148:GOA262150 GXW262148:GXW262150 HHS262148:HHS262150 HRO262148:HRO262150 IBK262148:IBK262150 ILG262148:ILG262150 IVC262148:IVC262150 JEY262148:JEY262150 JOU262148:JOU262150 JYQ262148:JYQ262150 KIM262148:KIM262150 KSI262148:KSI262150 LCE262148:LCE262150 LMA262148:LMA262150 LVW262148:LVW262150 MFS262148:MFS262150 MPO262148:MPO262150 MZK262148:MZK262150 NJG262148:NJG262150 NTC262148:NTC262150 OCY262148:OCY262150 OMU262148:OMU262150 OWQ262148:OWQ262150 PGM262148:PGM262150 PQI262148:PQI262150 QAE262148:QAE262150 QKA262148:QKA262150 QTW262148:QTW262150 RDS262148:RDS262150 RNO262148:RNO262150 RXK262148:RXK262150 SHG262148:SHG262150 SRC262148:SRC262150 TAY262148:TAY262150 TKU262148:TKU262150 TUQ262148:TUQ262150 UEM262148:UEM262150 UOI262148:UOI262150 UYE262148:UYE262150 VIA262148:VIA262150 VRW262148:VRW262150 WBS262148:WBS262150 WLO262148:WLO262150 WVK262148:WVK262150 C327684:C327686 IY327684:IY327686 SU327684:SU327686 ACQ327684:ACQ327686 AMM327684:AMM327686 AWI327684:AWI327686 BGE327684:BGE327686 BQA327684:BQA327686 BZW327684:BZW327686 CJS327684:CJS327686 CTO327684:CTO327686 DDK327684:DDK327686 DNG327684:DNG327686 DXC327684:DXC327686 EGY327684:EGY327686 EQU327684:EQU327686 FAQ327684:FAQ327686 FKM327684:FKM327686 FUI327684:FUI327686 GEE327684:GEE327686 GOA327684:GOA327686 GXW327684:GXW327686 HHS327684:HHS327686 HRO327684:HRO327686 IBK327684:IBK327686 ILG327684:ILG327686 IVC327684:IVC327686 JEY327684:JEY327686 JOU327684:JOU327686 JYQ327684:JYQ327686 KIM327684:KIM327686 KSI327684:KSI327686 LCE327684:LCE327686 LMA327684:LMA327686 LVW327684:LVW327686 MFS327684:MFS327686 MPO327684:MPO327686 MZK327684:MZK327686 NJG327684:NJG327686 NTC327684:NTC327686 OCY327684:OCY327686 OMU327684:OMU327686 OWQ327684:OWQ327686 PGM327684:PGM327686 PQI327684:PQI327686 QAE327684:QAE327686 QKA327684:QKA327686 QTW327684:QTW327686 RDS327684:RDS327686 RNO327684:RNO327686 RXK327684:RXK327686 SHG327684:SHG327686 SRC327684:SRC327686 TAY327684:TAY327686 TKU327684:TKU327686 TUQ327684:TUQ327686 UEM327684:UEM327686 UOI327684:UOI327686 UYE327684:UYE327686 VIA327684:VIA327686 VRW327684:VRW327686 WBS327684:WBS327686 WLO327684:WLO327686 WVK327684:WVK327686 C393220:C393222 IY393220:IY393222 SU393220:SU393222 ACQ393220:ACQ393222 AMM393220:AMM393222 AWI393220:AWI393222 BGE393220:BGE393222 BQA393220:BQA393222 BZW393220:BZW393222 CJS393220:CJS393222 CTO393220:CTO393222 DDK393220:DDK393222 DNG393220:DNG393222 DXC393220:DXC393222 EGY393220:EGY393222 EQU393220:EQU393222 FAQ393220:FAQ393222 FKM393220:FKM393222 FUI393220:FUI393222 GEE393220:GEE393222 GOA393220:GOA393222 GXW393220:GXW393222 HHS393220:HHS393222 HRO393220:HRO393222 IBK393220:IBK393222 ILG393220:ILG393222 IVC393220:IVC393222 JEY393220:JEY393222 JOU393220:JOU393222 JYQ393220:JYQ393222 KIM393220:KIM393222 KSI393220:KSI393222 LCE393220:LCE393222 LMA393220:LMA393222 LVW393220:LVW393222 MFS393220:MFS393222 MPO393220:MPO393222 MZK393220:MZK393222 NJG393220:NJG393222 NTC393220:NTC393222 OCY393220:OCY393222 OMU393220:OMU393222 OWQ393220:OWQ393222 PGM393220:PGM393222 PQI393220:PQI393222 QAE393220:QAE393222 QKA393220:QKA393222 QTW393220:QTW393222 RDS393220:RDS393222 RNO393220:RNO393222 RXK393220:RXK393222 SHG393220:SHG393222 SRC393220:SRC393222 TAY393220:TAY393222 TKU393220:TKU393222 TUQ393220:TUQ393222 UEM393220:UEM393222 UOI393220:UOI393222 UYE393220:UYE393222 VIA393220:VIA393222 VRW393220:VRW393222 WBS393220:WBS393222 WLO393220:WLO393222 WVK393220:WVK393222 C458756:C458758 IY458756:IY458758 SU458756:SU458758 ACQ458756:ACQ458758 AMM458756:AMM458758 AWI458756:AWI458758 BGE458756:BGE458758 BQA458756:BQA458758 BZW458756:BZW458758 CJS458756:CJS458758 CTO458756:CTO458758 DDK458756:DDK458758 DNG458756:DNG458758 DXC458756:DXC458758 EGY458756:EGY458758 EQU458756:EQU458758 FAQ458756:FAQ458758 FKM458756:FKM458758 FUI458756:FUI458758 GEE458756:GEE458758 GOA458756:GOA458758 GXW458756:GXW458758 HHS458756:HHS458758 HRO458756:HRO458758 IBK458756:IBK458758 ILG458756:ILG458758 IVC458756:IVC458758 JEY458756:JEY458758 JOU458756:JOU458758 JYQ458756:JYQ458758 KIM458756:KIM458758 KSI458756:KSI458758 LCE458756:LCE458758 LMA458756:LMA458758 LVW458756:LVW458758 MFS458756:MFS458758 MPO458756:MPO458758 MZK458756:MZK458758 NJG458756:NJG458758 NTC458756:NTC458758 OCY458756:OCY458758 OMU458756:OMU458758 OWQ458756:OWQ458758 PGM458756:PGM458758 PQI458756:PQI458758 QAE458756:QAE458758 QKA458756:QKA458758 QTW458756:QTW458758 RDS458756:RDS458758 RNO458756:RNO458758 RXK458756:RXK458758 SHG458756:SHG458758 SRC458756:SRC458758 TAY458756:TAY458758 TKU458756:TKU458758 TUQ458756:TUQ458758 UEM458756:UEM458758 UOI458756:UOI458758 UYE458756:UYE458758 VIA458756:VIA458758 VRW458756:VRW458758 WBS458756:WBS458758 WLO458756:WLO458758 WVK458756:WVK458758 C524292:C524294 IY524292:IY524294 SU524292:SU524294 ACQ524292:ACQ524294 AMM524292:AMM524294 AWI524292:AWI524294 BGE524292:BGE524294 BQA524292:BQA524294 BZW524292:BZW524294 CJS524292:CJS524294 CTO524292:CTO524294 DDK524292:DDK524294 DNG524292:DNG524294 DXC524292:DXC524294 EGY524292:EGY524294 EQU524292:EQU524294 FAQ524292:FAQ524294 FKM524292:FKM524294 FUI524292:FUI524294 GEE524292:GEE524294 GOA524292:GOA524294 GXW524292:GXW524294 HHS524292:HHS524294 HRO524292:HRO524294 IBK524292:IBK524294 ILG524292:ILG524294 IVC524292:IVC524294 JEY524292:JEY524294 JOU524292:JOU524294 JYQ524292:JYQ524294 KIM524292:KIM524294 KSI524292:KSI524294 LCE524292:LCE524294 LMA524292:LMA524294 LVW524292:LVW524294 MFS524292:MFS524294 MPO524292:MPO524294 MZK524292:MZK524294 NJG524292:NJG524294 NTC524292:NTC524294 OCY524292:OCY524294 OMU524292:OMU524294 OWQ524292:OWQ524294 PGM524292:PGM524294 PQI524292:PQI524294 QAE524292:QAE524294 QKA524292:QKA524294 QTW524292:QTW524294 RDS524292:RDS524294 RNO524292:RNO524294 RXK524292:RXK524294 SHG524292:SHG524294 SRC524292:SRC524294 TAY524292:TAY524294 TKU524292:TKU524294 TUQ524292:TUQ524294 UEM524292:UEM524294 UOI524292:UOI524294 UYE524292:UYE524294 VIA524292:VIA524294 VRW524292:VRW524294 WBS524292:WBS524294 WLO524292:WLO524294 WVK524292:WVK524294 C589828:C589830 IY589828:IY589830 SU589828:SU589830 ACQ589828:ACQ589830 AMM589828:AMM589830 AWI589828:AWI589830 BGE589828:BGE589830 BQA589828:BQA589830 BZW589828:BZW589830 CJS589828:CJS589830 CTO589828:CTO589830 DDK589828:DDK589830 DNG589828:DNG589830 DXC589828:DXC589830 EGY589828:EGY589830 EQU589828:EQU589830 FAQ589828:FAQ589830 FKM589828:FKM589830 FUI589828:FUI589830 GEE589828:GEE589830 GOA589828:GOA589830 GXW589828:GXW589830 HHS589828:HHS589830 HRO589828:HRO589830 IBK589828:IBK589830 ILG589828:ILG589830 IVC589828:IVC589830 JEY589828:JEY589830 JOU589828:JOU589830 JYQ589828:JYQ589830 KIM589828:KIM589830 KSI589828:KSI589830 LCE589828:LCE589830 LMA589828:LMA589830 LVW589828:LVW589830 MFS589828:MFS589830 MPO589828:MPO589830 MZK589828:MZK589830 NJG589828:NJG589830 NTC589828:NTC589830 OCY589828:OCY589830 OMU589828:OMU589830 OWQ589828:OWQ589830 PGM589828:PGM589830 PQI589828:PQI589830 QAE589828:QAE589830 QKA589828:QKA589830 QTW589828:QTW589830 RDS589828:RDS589830 RNO589828:RNO589830 RXK589828:RXK589830 SHG589828:SHG589830 SRC589828:SRC589830 TAY589828:TAY589830 TKU589828:TKU589830 TUQ589828:TUQ589830 UEM589828:UEM589830 UOI589828:UOI589830 UYE589828:UYE589830 VIA589828:VIA589830 VRW589828:VRW589830 WBS589828:WBS589830 WLO589828:WLO589830 WVK589828:WVK589830 C655364:C655366 IY655364:IY655366 SU655364:SU655366 ACQ655364:ACQ655366 AMM655364:AMM655366 AWI655364:AWI655366 BGE655364:BGE655366 BQA655364:BQA655366 BZW655364:BZW655366 CJS655364:CJS655366 CTO655364:CTO655366 DDK655364:DDK655366 DNG655364:DNG655366 DXC655364:DXC655366 EGY655364:EGY655366 EQU655364:EQU655366 FAQ655364:FAQ655366 FKM655364:FKM655366 FUI655364:FUI655366 GEE655364:GEE655366 GOA655364:GOA655366 GXW655364:GXW655366 HHS655364:HHS655366 HRO655364:HRO655366 IBK655364:IBK655366 ILG655364:ILG655366 IVC655364:IVC655366 JEY655364:JEY655366 JOU655364:JOU655366 JYQ655364:JYQ655366 KIM655364:KIM655366 KSI655364:KSI655366 LCE655364:LCE655366 LMA655364:LMA655366 LVW655364:LVW655366 MFS655364:MFS655366 MPO655364:MPO655366 MZK655364:MZK655366 NJG655364:NJG655366 NTC655364:NTC655366 OCY655364:OCY655366 OMU655364:OMU655366 OWQ655364:OWQ655366 PGM655364:PGM655366 PQI655364:PQI655366 QAE655364:QAE655366 QKA655364:QKA655366 QTW655364:QTW655366 RDS655364:RDS655366 RNO655364:RNO655366 RXK655364:RXK655366 SHG655364:SHG655366 SRC655364:SRC655366 TAY655364:TAY655366 TKU655364:TKU655366 TUQ655364:TUQ655366 UEM655364:UEM655366 UOI655364:UOI655366 UYE655364:UYE655366 VIA655364:VIA655366 VRW655364:VRW655366 WBS655364:WBS655366 WLO655364:WLO655366 WVK655364:WVK655366 C720900:C720902 IY720900:IY720902 SU720900:SU720902 ACQ720900:ACQ720902 AMM720900:AMM720902 AWI720900:AWI720902 BGE720900:BGE720902 BQA720900:BQA720902 BZW720900:BZW720902 CJS720900:CJS720902 CTO720900:CTO720902 DDK720900:DDK720902 DNG720900:DNG720902 DXC720900:DXC720902 EGY720900:EGY720902 EQU720900:EQU720902 FAQ720900:FAQ720902 FKM720900:FKM720902 FUI720900:FUI720902 GEE720900:GEE720902 GOA720900:GOA720902 GXW720900:GXW720902 HHS720900:HHS720902 HRO720900:HRO720902 IBK720900:IBK720902 ILG720900:ILG720902 IVC720900:IVC720902 JEY720900:JEY720902 JOU720900:JOU720902 JYQ720900:JYQ720902 KIM720900:KIM720902 KSI720900:KSI720902 LCE720900:LCE720902 LMA720900:LMA720902 LVW720900:LVW720902 MFS720900:MFS720902 MPO720900:MPO720902 MZK720900:MZK720902 NJG720900:NJG720902 NTC720900:NTC720902 OCY720900:OCY720902 OMU720900:OMU720902 OWQ720900:OWQ720902 PGM720900:PGM720902 PQI720900:PQI720902 QAE720900:QAE720902 QKA720900:QKA720902 QTW720900:QTW720902 RDS720900:RDS720902 RNO720900:RNO720902 RXK720900:RXK720902 SHG720900:SHG720902 SRC720900:SRC720902 TAY720900:TAY720902 TKU720900:TKU720902 TUQ720900:TUQ720902 UEM720900:UEM720902 UOI720900:UOI720902 UYE720900:UYE720902 VIA720900:VIA720902 VRW720900:VRW720902 WBS720900:WBS720902 WLO720900:WLO720902 WVK720900:WVK720902 C786436:C786438 IY786436:IY786438 SU786436:SU786438 ACQ786436:ACQ786438 AMM786436:AMM786438 AWI786436:AWI786438 BGE786436:BGE786438 BQA786436:BQA786438 BZW786436:BZW786438 CJS786436:CJS786438 CTO786436:CTO786438 DDK786436:DDK786438 DNG786436:DNG786438 DXC786436:DXC786438 EGY786436:EGY786438 EQU786436:EQU786438 FAQ786436:FAQ786438 FKM786436:FKM786438 FUI786436:FUI786438 GEE786436:GEE786438 GOA786436:GOA786438 GXW786436:GXW786438 HHS786436:HHS786438 HRO786436:HRO786438 IBK786436:IBK786438 ILG786436:ILG786438 IVC786436:IVC786438 JEY786436:JEY786438 JOU786436:JOU786438 JYQ786436:JYQ786438 KIM786436:KIM786438 KSI786436:KSI786438 LCE786436:LCE786438 LMA786436:LMA786438 LVW786436:LVW786438 MFS786436:MFS786438 MPO786436:MPO786438 MZK786436:MZK786438 NJG786436:NJG786438 NTC786436:NTC786438 OCY786436:OCY786438 OMU786436:OMU786438 OWQ786436:OWQ786438 PGM786436:PGM786438 PQI786436:PQI786438 QAE786436:QAE786438 QKA786436:QKA786438 QTW786436:QTW786438 RDS786436:RDS786438 RNO786436:RNO786438 RXK786436:RXK786438 SHG786436:SHG786438 SRC786436:SRC786438 TAY786436:TAY786438 TKU786436:TKU786438 TUQ786436:TUQ786438 UEM786436:UEM786438 UOI786436:UOI786438 UYE786436:UYE786438 VIA786436:VIA786438 VRW786436:VRW786438 WBS786436:WBS786438 WLO786436:WLO786438 WVK786436:WVK786438 C851972:C851974 IY851972:IY851974 SU851972:SU851974 ACQ851972:ACQ851974 AMM851972:AMM851974 AWI851972:AWI851974 BGE851972:BGE851974 BQA851972:BQA851974 BZW851972:BZW851974 CJS851972:CJS851974 CTO851972:CTO851974 DDK851972:DDK851974 DNG851972:DNG851974 DXC851972:DXC851974 EGY851972:EGY851974 EQU851972:EQU851974 FAQ851972:FAQ851974 FKM851972:FKM851974 FUI851972:FUI851974 GEE851972:GEE851974 GOA851972:GOA851974 GXW851972:GXW851974 HHS851972:HHS851974 HRO851972:HRO851974 IBK851972:IBK851974 ILG851972:ILG851974 IVC851972:IVC851974 JEY851972:JEY851974 JOU851972:JOU851974 JYQ851972:JYQ851974 KIM851972:KIM851974 KSI851972:KSI851974 LCE851972:LCE851974 LMA851972:LMA851974 LVW851972:LVW851974 MFS851972:MFS851974 MPO851972:MPO851974 MZK851972:MZK851974 NJG851972:NJG851974 NTC851972:NTC851974 OCY851972:OCY851974 OMU851972:OMU851974 OWQ851972:OWQ851974 PGM851972:PGM851974 PQI851972:PQI851974 QAE851972:QAE851974 QKA851972:QKA851974 QTW851972:QTW851974 RDS851972:RDS851974 RNO851972:RNO851974 RXK851972:RXK851974 SHG851972:SHG851974 SRC851972:SRC851974 TAY851972:TAY851974 TKU851972:TKU851974 TUQ851972:TUQ851974 UEM851972:UEM851974 UOI851972:UOI851974 UYE851972:UYE851974 VIA851972:VIA851974 VRW851972:VRW851974 WBS851972:WBS851974 WLO851972:WLO851974 WVK851972:WVK851974 C917508:C917510 IY917508:IY917510 SU917508:SU917510 ACQ917508:ACQ917510 AMM917508:AMM917510 AWI917508:AWI917510 BGE917508:BGE917510 BQA917508:BQA917510 BZW917508:BZW917510 CJS917508:CJS917510 CTO917508:CTO917510 DDK917508:DDK917510 DNG917508:DNG917510 DXC917508:DXC917510 EGY917508:EGY917510 EQU917508:EQU917510 FAQ917508:FAQ917510 FKM917508:FKM917510 FUI917508:FUI917510 GEE917508:GEE917510 GOA917508:GOA917510 GXW917508:GXW917510 HHS917508:HHS917510 HRO917508:HRO917510 IBK917508:IBK917510 ILG917508:ILG917510 IVC917508:IVC917510 JEY917508:JEY917510 JOU917508:JOU917510 JYQ917508:JYQ917510 KIM917508:KIM917510 KSI917508:KSI917510 LCE917508:LCE917510 LMA917508:LMA917510 LVW917508:LVW917510 MFS917508:MFS917510 MPO917508:MPO917510 MZK917508:MZK917510 NJG917508:NJG917510 NTC917508:NTC917510 OCY917508:OCY917510 OMU917508:OMU917510 OWQ917508:OWQ917510 PGM917508:PGM917510 PQI917508:PQI917510 QAE917508:QAE917510 QKA917508:QKA917510 QTW917508:QTW917510 RDS917508:RDS917510 RNO917508:RNO917510 RXK917508:RXK917510 SHG917508:SHG917510 SRC917508:SRC917510 TAY917508:TAY917510 TKU917508:TKU917510 TUQ917508:TUQ917510 UEM917508:UEM917510 UOI917508:UOI917510 UYE917508:UYE917510 VIA917508:VIA917510 VRW917508:VRW917510 WBS917508:WBS917510 WLO917508:WLO917510 WVK917508:WVK917510 C983044:C983046 IY983044:IY983046 SU983044:SU983046 ACQ983044:ACQ983046 AMM983044:AMM983046 AWI983044:AWI983046 BGE983044:BGE983046 BQA983044:BQA983046 BZW983044:BZW983046 CJS983044:CJS983046 CTO983044:CTO983046 DDK983044:DDK983046 DNG983044:DNG983046 DXC983044:DXC983046 EGY983044:EGY983046 EQU983044:EQU983046 FAQ983044:FAQ983046 FKM983044:FKM983046 FUI983044:FUI983046 GEE983044:GEE983046 GOA983044:GOA983046 GXW983044:GXW983046 HHS983044:HHS983046 HRO983044:HRO983046 IBK983044:IBK983046 ILG983044:ILG983046 IVC983044:IVC983046 JEY983044:JEY983046 JOU983044:JOU983046 JYQ983044:JYQ983046 KIM983044:KIM983046 KSI983044:KSI983046 LCE983044:LCE983046 LMA983044:LMA983046 LVW983044:LVW983046 MFS983044:MFS983046 MPO983044:MPO983046 MZK983044:MZK983046 NJG983044:NJG983046 NTC983044:NTC983046 OCY983044:OCY983046 OMU983044:OMU983046 OWQ983044:OWQ983046 PGM983044:PGM983046 PQI983044:PQI983046 QAE983044:QAE983046 QKA983044:QKA983046 QTW983044:QTW983046 RDS983044:RDS983046 RNO983044:RNO983046 RXK983044:RXK983046 SHG983044:SHG983046 SRC983044:SRC983046 TAY983044:TAY983046 TKU983044:TKU983046 TUQ983044:TUQ983046 UEM983044:UEM983046 UOI983044:UOI983046 UYE983044:UYE983046 VIA983044:VIA983046 VRW983044:VRW983046 WBS983044:WBS983046 WLO983044:WLO983046 WVK983044:WVK983046"/>
    <dataValidation type="list" allowBlank="1" showInputMessage="1" showErrorMessage="1" sqref="M13:M14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WVU13:WVU14 M65549:M65550 JI65549:JI65550 TE65549:TE65550 ADA65549:ADA65550 AMW65549:AMW65550 AWS65549:AWS65550 BGO65549:BGO65550 BQK65549:BQK65550 CAG65549:CAG65550 CKC65549:CKC65550 CTY65549:CTY65550 DDU65549:DDU65550 DNQ65549:DNQ65550 DXM65549:DXM65550 EHI65549:EHI65550 ERE65549:ERE65550 FBA65549:FBA65550 FKW65549:FKW65550 FUS65549:FUS65550 GEO65549:GEO65550 GOK65549:GOK65550 GYG65549:GYG65550 HIC65549:HIC65550 HRY65549:HRY65550 IBU65549:IBU65550 ILQ65549:ILQ65550 IVM65549:IVM65550 JFI65549:JFI65550 JPE65549:JPE65550 JZA65549:JZA65550 KIW65549:KIW65550 KSS65549:KSS65550 LCO65549:LCO65550 LMK65549:LMK65550 LWG65549:LWG65550 MGC65549:MGC65550 MPY65549:MPY65550 MZU65549:MZU65550 NJQ65549:NJQ65550 NTM65549:NTM65550 ODI65549:ODI65550 ONE65549:ONE65550 OXA65549:OXA65550 PGW65549:PGW65550 PQS65549:PQS65550 QAO65549:QAO65550 QKK65549:QKK65550 QUG65549:QUG65550 REC65549:REC65550 RNY65549:RNY65550 RXU65549:RXU65550 SHQ65549:SHQ65550 SRM65549:SRM65550 TBI65549:TBI65550 TLE65549:TLE65550 TVA65549:TVA65550 UEW65549:UEW65550 UOS65549:UOS65550 UYO65549:UYO65550 VIK65549:VIK65550 VSG65549:VSG65550 WCC65549:WCC65550 WLY65549:WLY65550 WVU65549:WVU65550 M131085:M131086 JI131085:JI131086 TE131085:TE131086 ADA131085:ADA131086 AMW131085:AMW131086 AWS131085:AWS131086 BGO131085:BGO131086 BQK131085:BQK131086 CAG131085:CAG131086 CKC131085:CKC131086 CTY131085:CTY131086 DDU131085:DDU131086 DNQ131085:DNQ131086 DXM131085:DXM131086 EHI131085:EHI131086 ERE131085:ERE131086 FBA131085:FBA131086 FKW131085:FKW131086 FUS131085:FUS131086 GEO131085:GEO131086 GOK131085:GOK131086 GYG131085:GYG131086 HIC131085:HIC131086 HRY131085:HRY131086 IBU131085:IBU131086 ILQ131085:ILQ131086 IVM131085:IVM131086 JFI131085:JFI131086 JPE131085:JPE131086 JZA131085:JZA131086 KIW131085:KIW131086 KSS131085:KSS131086 LCO131085:LCO131086 LMK131085:LMK131086 LWG131085:LWG131086 MGC131085:MGC131086 MPY131085:MPY131086 MZU131085:MZU131086 NJQ131085:NJQ131086 NTM131085:NTM131086 ODI131085:ODI131086 ONE131085:ONE131086 OXA131085:OXA131086 PGW131085:PGW131086 PQS131085:PQS131086 QAO131085:QAO131086 QKK131085:QKK131086 QUG131085:QUG131086 REC131085:REC131086 RNY131085:RNY131086 RXU131085:RXU131086 SHQ131085:SHQ131086 SRM131085:SRM131086 TBI131085:TBI131086 TLE131085:TLE131086 TVA131085:TVA131086 UEW131085:UEW131086 UOS131085:UOS131086 UYO131085:UYO131086 VIK131085:VIK131086 VSG131085:VSG131086 WCC131085:WCC131086 WLY131085:WLY131086 WVU131085:WVU131086 M196621:M196622 JI196621:JI196622 TE196621:TE196622 ADA196621:ADA196622 AMW196621:AMW196622 AWS196621:AWS196622 BGO196621:BGO196622 BQK196621:BQK196622 CAG196621:CAG196622 CKC196621:CKC196622 CTY196621:CTY196622 DDU196621:DDU196622 DNQ196621:DNQ196622 DXM196621:DXM196622 EHI196621:EHI196622 ERE196621:ERE196622 FBA196621:FBA196622 FKW196621:FKW196622 FUS196621:FUS196622 GEO196621:GEO196622 GOK196621:GOK196622 GYG196621:GYG196622 HIC196621:HIC196622 HRY196621:HRY196622 IBU196621:IBU196622 ILQ196621:ILQ196622 IVM196621:IVM196622 JFI196621:JFI196622 JPE196621:JPE196622 JZA196621:JZA196622 KIW196621:KIW196622 KSS196621:KSS196622 LCO196621:LCO196622 LMK196621:LMK196622 LWG196621:LWG196622 MGC196621:MGC196622 MPY196621:MPY196622 MZU196621:MZU196622 NJQ196621:NJQ196622 NTM196621:NTM196622 ODI196621:ODI196622 ONE196621:ONE196622 OXA196621:OXA196622 PGW196621:PGW196622 PQS196621:PQS196622 QAO196621:QAO196622 QKK196621:QKK196622 QUG196621:QUG196622 REC196621:REC196622 RNY196621:RNY196622 RXU196621:RXU196622 SHQ196621:SHQ196622 SRM196621:SRM196622 TBI196621:TBI196622 TLE196621:TLE196622 TVA196621:TVA196622 UEW196621:UEW196622 UOS196621:UOS196622 UYO196621:UYO196622 VIK196621:VIK196622 VSG196621:VSG196622 WCC196621:WCC196622 WLY196621:WLY196622 WVU196621:WVU196622 M262157:M262158 JI262157:JI262158 TE262157:TE262158 ADA262157:ADA262158 AMW262157:AMW262158 AWS262157:AWS262158 BGO262157:BGO262158 BQK262157:BQK262158 CAG262157:CAG262158 CKC262157:CKC262158 CTY262157:CTY262158 DDU262157:DDU262158 DNQ262157:DNQ262158 DXM262157:DXM262158 EHI262157:EHI262158 ERE262157:ERE262158 FBA262157:FBA262158 FKW262157:FKW262158 FUS262157:FUS262158 GEO262157:GEO262158 GOK262157:GOK262158 GYG262157:GYG262158 HIC262157:HIC262158 HRY262157:HRY262158 IBU262157:IBU262158 ILQ262157:ILQ262158 IVM262157:IVM262158 JFI262157:JFI262158 JPE262157:JPE262158 JZA262157:JZA262158 KIW262157:KIW262158 KSS262157:KSS262158 LCO262157:LCO262158 LMK262157:LMK262158 LWG262157:LWG262158 MGC262157:MGC262158 MPY262157:MPY262158 MZU262157:MZU262158 NJQ262157:NJQ262158 NTM262157:NTM262158 ODI262157:ODI262158 ONE262157:ONE262158 OXA262157:OXA262158 PGW262157:PGW262158 PQS262157:PQS262158 QAO262157:QAO262158 QKK262157:QKK262158 QUG262157:QUG262158 REC262157:REC262158 RNY262157:RNY262158 RXU262157:RXU262158 SHQ262157:SHQ262158 SRM262157:SRM262158 TBI262157:TBI262158 TLE262157:TLE262158 TVA262157:TVA262158 UEW262157:UEW262158 UOS262157:UOS262158 UYO262157:UYO262158 VIK262157:VIK262158 VSG262157:VSG262158 WCC262157:WCC262158 WLY262157:WLY262158 WVU262157:WVU262158 M327693:M327694 JI327693:JI327694 TE327693:TE327694 ADA327693:ADA327694 AMW327693:AMW327694 AWS327693:AWS327694 BGO327693:BGO327694 BQK327693:BQK327694 CAG327693:CAG327694 CKC327693:CKC327694 CTY327693:CTY327694 DDU327693:DDU327694 DNQ327693:DNQ327694 DXM327693:DXM327694 EHI327693:EHI327694 ERE327693:ERE327694 FBA327693:FBA327694 FKW327693:FKW327694 FUS327693:FUS327694 GEO327693:GEO327694 GOK327693:GOK327694 GYG327693:GYG327694 HIC327693:HIC327694 HRY327693:HRY327694 IBU327693:IBU327694 ILQ327693:ILQ327694 IVM327693:IVM327694 JFI327693:JFI327694 JPE327693:JPE327694 JZA327693:JZA327694 KIW327693:KIW327694 KSS327693:KSS327694 LCO327693:LCO327694 LMK327693:LMK327694 LWG327693:LWG327694 MGC327693:MGC327694 MPY327693:MPY327694 MZU327693:MZU327694 NJQ327693:NJQ327694 NTM327693:NTM327694 ODI327693:ODI327694 ONE327693:ONE327694 OXA327693:OXA327694 PGW327693:PGW327694 PQS327693:PQS327694 QAO327693:QAO327694 QKK327693:QKK327694 QUG327693:QUG327694 REC327693:REC327694 RNY327693:RNY327694 RXU327693:RXU327694 SHQ327693:SHQ327694 SRM327693:SRM327694 TBI327693:TBI327694 TLE327693:TLE327694 TVA327693:TVA327694 UEW327693:UEW327694 UOS327693:UOS327694 UYO327693:UYO327694 VIK327693:VIK327694 VSG327693:VSG327694 WCC327693:WCC327694 WLY327693:WLY327694 WVU327693:WVU327694 M393229:M393230 JI393229:JI393230 TE393229:TE393230 ADA393229:ADA393230 AMW393229:AMW393230 AWS393229:AWS393230 BGO393229:BGO393230 BQK393229:BQK393230 CAG393229:CAG393230 CKC393229:CKC393230 CTY393229:CTY393230 DDU393229:DDU393230 DNQ393229:DNQ393230 DXM393229:DXM393230 EHI393229:EHI393230 ERE393229:ERE393230 FBA393229:FBA393230 FKW393229:FKW393230 FUS393229:FUS393230 GEO393229:GEO393230 GOK393229:GOK393230 GYG393229:GYG393230 HIC393229:HIC393230 HRY393229:HRY393230 IBU393229:IBU393230 ILQ393229:ILQ393230 IVM393229:IVM393230 JFI393229:JFI393230 JPE393229:JPE393230 JZA393229:JZA393230 KIW393229:KIW393230 KSS393229:KSS393230 LCO393229:LCO393230 LMK393229:LMK393230 LWG393229:LWG393230 MGC393229:MGC393230 MPY393229:MPY393230 MZU393229:MZU393230 NJQ393229:NJQ393230 NTM393229:NTM393230 ODI393229:ODI393230 ONE393229:ONE393230 OXA393229:OXA393230 PGW393229:PGW393230 PQS393229:PQS393230 QAO393229:QAO393230 QKK393229:QKK393230 QUG393229:QUG393230 REC393229:REC393230 RNY393229:RNY393230 RXU393229:RXU393230 SHQ393229:SHQ393230 SRM393229:SRM393230 TBI393229:TBI393230 TLE393229:TLE393230 TVA393229:TVA393230 UEW393229:UEW393230 UOS393229:UOS393230 UYO393229:UYO393230 VIK393229:VIK393230 VSG393229:VSG393230 WCC393229:WCC393230 WLY393229:WLY393230 WVU393229:WVU393230 M458765:M458766 JI458765:JI458766 TE458765:TE458766 ADA458765:ADA458766 AMW458765:AMW458766 AWS458765:AWS458766 BGO458765:BGO458766 BQK458765:BQK458766 CAG458765:CAG458766 CKC458765:CKC458766 CTY458765:CTY458766 DDU458765:DDU458766 DNQ458765:DNQ458766 DXM458765:DXM458766 EHI458765:EHI458766 ERE458765:ERE458766 FBA458765:FBA458766 FKW458765:FKW458766 FUS458765:FUS458766 GEO458765:GEO458766 GOK458765:GOK458766 GYG458765:GYG458766 HIC458765:HIC458766 HRY458765:HRY458766 IBU458765:IBU458766 ILQ458765:ILQ458766 IVM458765:IVM458766 JFI458765:JFI458766 JPE458765:JPE458766 JZA458765:JZA458766 KIW458765:KIW458766 KSS458765:KSS458766 LCO458765:LCO458766 LMK458765:LMK458766 LWG458765:LWG458766 MGC458765:MGC458766 MPY458765:MPY458766 MZU458765:MZU458766 NJQ458765:NJQ458766 NTM458765:NTM458766 ODI458765:ODI458766 ONE458765:ONE458766 OXA458765:OXA458766 PGW458765:PGW458766 PQS458765:PQS458766 QAO458765:QAO458766 QKK458765:QKK458766 QUG458765:QUG458766 REC458765:REC458766 RNY458765:RNY458766 RXU458765:RXU458766 SHQ458765:SHQ458766 SRM458765:SRM458766 TBI458765:TBI458766 TLE458765:TLE458766 TVA458765:TVA458766 UEW458765:UEW458766 UOS458765:UOS458766 UYO458765:UYO458766 VIK458765:VIK458766 VSG458765:VSG458766 WCC458765:WCC458766 WLY458765:WLY458766 WVU458765:WVU458766 M524301:M524302 JI524301:JI524302 TE524301:TE524302 ADA524301:ADA524302 AMW524301:AMW524302 AWS524301:AWS524302 BGO524301:BGO524302 BQK524301:BQK524302 CAG524301:CAG524302 CKC524301:CKC524302 CTY524301:CTY524302 DDU524301:DDU524302 DNQ524301:DNQ524302 DXM524301:DXM524302 EHI524301:EHI524302 ERE524301:ERE524302 FBA524301:FBA524302 FKW524301:FKW524302 FUS524301:FUS524302 GEO524301:GEO524302 GOK524301:GOK524302 GYG524301:GYG524302 HIC524301:HIC524302 HRY524301:HRY524302 IBU524301:IBU524302 ILQ524301:ILQ524302 IVM524301:IVM524302 JFI524301:JFI524302 JPE524301:JPE524302 JZA524301:JZA524302 KIW524301:KIW524302 KSS524301:KSS524302 LCO524301:LCO524302 LMK524301:LMK524302 LWG524301:LWG524302 MGC524301:MGC524302 MPY524301:MPY524302 MZU524301:MZU524302 NJQ524301:NJQ524302 NTM524301:NTM524302 ODI524301:ODI524302 ONE524301:ONE524302 OXA524301:OXA524302 PGW524301:PGW524302 PQS524301:PQS524302 QAO524301:QAO524302 QKK524301:QKK524302 QUG524301:QUG524302 REC524301:REC524302 RNY524301:RNY524302 RXU524301:RXU524302 SHQ524301:SHQ524302 SRM524301:SRM524302 TBI524301:TBI524302 TLE524301:TLE524302 TVA524301:TVA524302 UEW524301:UEW524302 UOS524301:UOS524302 UYO524301:UYO524302 VIK524301:VIK524302 VSG524301:VSG524302 WCC524301:WCC524302 WLY524301:WLY524302 WVU524301:WVU524302 M589837:M589838 JI589837:JI589838 TE589837:TE589838 ADA589837:ADA589838 AMW589837:AMW589838 AWS589837:AWS589838 BGO589837:BGO589838 BQK589837:BQK589838 CAG589837:CAG589838 CKC589837:CKC589838 CTY589837:CTY589838 DDU589837:DDU589838 DNQ589837:DNQ589838 DXM589837:DXM589838 EHI589837:EHI589838 ERE589837:ERE589838 FBA589837:FBA589838 FKW589837:FKW589838 FUS589837:FUS589838 GEO589837:GEO589838 GOK589837:GOK589838 GYG589837:GYG589838 HIC589837:HIC589838 HRY589837:HRY589838 IBU589837:IBU589838 ILQ589837:ILQ589838 IVM589837:IVM589838 JFI589837:JFI589838 JPE589837:JPE589838 JZA589837:JZA589838 KIW589837:KIW589838 KSS589837:KSS589838 LCO589837:LCO589838 LMK589837:LMK589838 LWG589837:LWG589838 MGC589837:MGC589838 MPY589837:MPY589838 MZU589837:MZU589838 NJQ589837:NJQ589838 NTM589837:NTM589838 ODI589837:ODI589838 ONE589837:ONE589838 OXA589837:OXA589838 PGW589837:PGW589838 PQS589837:PQS589838 QAO589837:QAO589838 QKK589837:QKK589838 QUG589837:QUG589838 REC589837:REC589838 RNY589837:RNY589838 RXU589837:RXU589838 SHQ589837:SHQ589838 SRM589837:SRM589838 TBI589837:TBI589838 TLE589837:TLE589838 TVA589837:TVA589838 UEW589837:UEW589838 UOS589837:UOS589838 UYO589837:UYO589838 VIK589837:VIK589838 VSG589837:VSG589838 WCC589837:WCC589838 WLY589837:WLY589838 WVU589837:WVU589838 M655373:M655374 JI655373:JI655374 TE655373:TE655374 ADA655373:ADA655374 AMW655373:AMW655374 AWS655373:AWS655374 BGO655373:BGO655374 BQK655373:BQK655374 CAG655373:CAG655374 CKC655373:CKC655374 CTY655373:CTY655374 DDU655373:DDU655374 DNQ655373:DNQ655374 DXM655373:DXM655374 EHI655373:EHI655374 ERE655373:ERE655374 FBA655373:FBA655374 FKW655373:FKW655374 FUS655373:FUS655374 GEO655373:GEO655374 GOK655373:GOK655374 GYG655373:GYG655374 HIC655373:HIC655374 HRY655373:HRY655374 IBU655373:IBU655374 ILQ655373:ILQ655374 IVM655373:IVM655374 JFI655373:JFI655374 JPE655373:JPE655374 JZA655373:JZA655374 KIW655373:KIW655374 KSS655373:KSS655374 LCO655373:LCO655374 LMK655373:LMK655374 LWG655373:LWG655374 MGC655373:MGC655374 MPY655373:MPY655374 MZU655373:MZU655374 NJQ655373:NJQ655374 NTM655373:NTM655374 ODI655373:ODI655374 ONE655373:ONE655374 OXA655373:OXA655374 PGW655373:PGW655374 PQS655373:PQS655374 QAO655373:QAO655374 QKK655373:QKK655374 QUG655373:QUG655374 REC655373:REC655374 RNY655373:RNY655374 RXU655373:RXU655374 SHQ655373:SHQ655374 SRM655373:SRM655374 TBI655373:TBI655374 TLE655373:TLE655374 TVA655373:TVA655374 UEW655373:UEW655374 UOS655373:UOS655374 UYO655373:UYO655374 VIK655373:VIK655374 VSG655373:VSG655374 WCC655373:WCC655374 WLY655373:WLY655374 WVU655373:WVU655374 M720909:M720910 JI720909:JI720910 TE720909:TE720910 ADA720909:ADA720910 AMW720909:AMW720910 AWS720909:AWS720910 BGO720909:BGO720910 BQK720909:BQK720910 CAG720909:CAG720910 CKC720909:CKC720910 CTY720909:CTY720910 DDU720909:DDU720910 DNQ720909:DNQ720910 DXM720909:DXM720910 EHI720909:EHI720910 ERE720909:ERE720910 FBA720909:FBA720910 FKW720909:FKW720910 FUS720909:FUS720910 GEO720909:GEO720910 GOK720909:GOK720910 GYG720909:GYG720910 HIC720909:HIC720910 HRY720909:HRY720910 IBU720909:IBU720910 ILQ720909:ILQ720910 IVM720909:IVM720910 JFI720909:JFI720910 JPE720909:JPE720910 JZA720909:JZA720910 KIW720909:KIW720910 KSS720909:KSS720910 LCO720909:LCO720910 LMK720909:LMK720910 LWG720909:LWG720910 MGC720909:MGC720910 MPY720909:MPY720910 MZU720909:MZU720910 NJQ720909:NJQ720910 NTM720909:NTM720910 ODI720909:ODI720910 ONE720909:ONE720910 OXA720909:OXA720910 PGW720909:PGW720910 PQS720909:PQS720910 QAO720909:QAO720910 QKK720909:QKK720910 QUG720909:QUG720910 REC720909:REC720910 RNY720909:RNY720910 RXU720909:RXU720910 SHQ720909:SHQ720910 SRM720909:SRM720910 TBI720909:TBI720910 TLE720909:TLE720910 TVA720909:TVA720910 UEW720909:UEW720910 UOS720909:UOS720910 UYO720909:UYO720910 VIK720909:VIK720910 VSG720909:VSG720910 WCC720909:WCC720910 WLY720909:WLY720910 WVU720909:WVU720910 M786445:M786446 JI786445:JI786446 TE786445:TE786446 ADA786445:ADA786446 AMW786445:AMW786446 AWS786445:AWS786446 BGO786445:BGO786446 BQK786445:BQK786446 CAG786445:CAG786446 CKC786445:CKC786446 CTY786445:CTY786446 DDU786445:DDU786446 DNQ786445:DNQ786446 DXM786445:DXM786446 EHI786445:EHI786446 ERE786445:ERE786446 FBA786445:FBA786446 FKW786445:FKW786446 FUS786445:FUS786446 GEO786445:GEO786446 GOK786445:GOK786446 GYG786445:GYG786446 HIC786445:HIC786446 HRY786445:HRY786446 IBU786445:IBU786446 ILQ786445:ILQ786446 IVM786445:IVM786446 JFI786445:JFI786446 JPE786445:JPE786446 JZA786445:JZA786446 KIW786445:KIW786446 KSS786445:KSS786446 LCO786445:LCO786446 LMK786445:LMK786446 LWG786445:LWG786446 MGC786445:MGC786446 MPY786445:MPY786446 MZU786445:MZU786446 NJQ786445:NJQ786446 NTM786445:NTM786446 ODI786445:ODI786446 ONE786445:ONE786446 OXA786445:OXA786446 PGW786445:PGW786446 PQS786445:PQS786446 QAO786445:QAO786446 QKK786445:QKK786446 QUG786445:QUG786446 REC786445:REC786446 RNY786445:RNY786446 RXU786445:RXU786446 SHQ786445:SHQ786446 SRM786445:SRM786446 TBI786445:TBI786446 TLE786445:TLE786446 TVA786445:TVA786446 UEW786445:UEW786446 UOS786445:UOS786446 UYO786445:UYO786446 VIK786445:VIK786446 VSG786445:VSG786446 WCC786445:WCC786446 WLY786445:WLY786446 WVU786445:WVU786446 M851981:M851982 JI851981:JI851982 TE851981:TE851982 ADA851981:ADA851982 AMW851981:AMW851982 AWS851981:AWS851982 BGO851981:BGO851982 BQK851981:BQK851982 CAG851981:CAG851982 CKC851981:CKC851982 CTY851981:CTY851982 DDU851981:DDU851982 DNQ851981:DNQ851982 DXM851981:DXM851982 EHI851981:EHI851982 ERE851981:ERE851982 FBA851981:FBA851982 FKW851981:FKW851982 FUS851981:FUS851982 GEO851981:GEO851982 GOK851981:GOK851982 GYG851981:GYG851982 HIC851981:HIC851982 HRY851981:HRY851982 IBU851981:IBU851982 ILQ851981:ILQ851982 IVM851981:IVM851982 JFI851981:JFI851982 JPE851981:JPE851982 JZA851981:JZA851982 KIW851981:KIW851982 KSS851981:KSS851982 LCO851981:LCO851982 LMK851981:LMK851982 LWG851981:LWG851982 MGC851981:MGC851982 MPY851981:MPY851982 MZU851981:MZU851982 NJQ851981:NJQ851982 NTM851981:NTM851982 ODI851981:ODI851982 ONE851981:ONE851982 OXA851981:OXA851982 PGW851981:PGW851982 PQS851981:PQS851982 QAO851981:QAO851982 QKK851981:QKK851982 QUG851981:QUG851982 REC851981:REC851982 RNY851981:RNY851982 RXU851981:RXU851982 SHQ851981:SHQ851982 SRM851981:SRM851982 TBI851981:TBI851982 TLE851981:TLE851982 TVA851981:TVA851982 UEW851981:UEW851982 UOS851981:UOS851982 UYO851981:UYO851982 VIK851981:VIK851982 VSG851981:VSG851982 WCC851981:WCC851982 WLY851981:WLY851982 WVU851981:WVU851982 M917517:M917518 JI917517:JI917518 TE917517:TE917518 ADA917517:ADA917518 AMW917517:AMW917518 AWS917517:AWS917518 BGO917517:BGO917518 BQK917517:BQK917518 CAG917517:CAG917518 CKC917517:CKC917518 CTY917517:CTY917518 DDU917517:DDU917518 DNQ917517:DNQ917518 DXM917517:DXM917518 EHI917517:EHI917518 ERE917517:ERE917518 FBA917517:FBA917518 FKW917517:FKW917518 FUS917517:FUS917518 GEO917517:GEO917518 GOK917517:GOK917518 GYG917517:GYG917518 HIC917517:HIC917518 HRY917517:HRY917518 IBU917517:IBU917518 ILQ917517:ILQ917518 IVM917517:IVM917518 JFI917517:JFI917518 JPE917517:JPE917518 JZA917517:JZA917518 KIW917517:KIW917518 KSS917517:KSS917518 LCO917517:LCO917518 LMK917517:LMK917518 LWG917517:LWG917518 MGC917517:MGC917518 MPY917517:MPY917518 MZU917517:MZU917518 NJQ917517:NJQ917518 NTM917517:NTM917518 ODI917517:ODI917518 ONE917517:ONE917518 OXA917517:OXA917518 PGW917517:PGW917518 PQS917517:PQS917518 QAO917517:QAO917518 QKK917517:QKK917518 QUG917517:QUG917518 REC917517:REC917518 RNY917517:RNY917518 RXU917517:RXU917518 SHQ917517:SHQ917518 SRM917517:SRM917518 TBI917517:TBI917518 TLE917517:TLE917518 TVA917517:TVA917518 UEW917517:UEW917518 UOS917517:UOS917518 UYO917517:UYO917518 VIK917517:VIK917518 VSG917517:VSG917518 WCC917517:WCC917518 WLY917517:WLY917518 WVU917517:WVU917518 M983053:M983054 JI983053:JI983054 TE983053:TE983054 ADA983053:ADA983054 AMW983053:AMW983054 AWS983053:AWS983054 BGO983053:BGO983054 BQK983053:BQK983054 CAG983053:CAG983054 CKC983053:CKC983054 CTY983053:CTY983054 DDU983053:DDU983054 DNQ983053:DNQ983054 DXM983053:DXM983054 EHI983053:EHI983054 ERE983053:ERE983054 FBA983053:FBA983054 FKW983053:FKW983054 FUS983053:FUS983054 GEO983053:GEO983054 GOK983053:GOK983054 GYG983053:GYG983054 HIC983053:HIC983054 HRY983053:HRY983054 IBU983053:IBU983054 ILQ983053:ILQ983054 IVM983053:IVM983054 JFI983053:JFI983054 JPE983053:JPE983054 JZA983053:JZA983054 KIW983053:KIW983054 KSS983053:KSS983054 LCO983053:LCO983054 LMK983053:LMK983054 LWG983053:LWG983054 MGC983053:MGC983054 MPY983053:MPY983054 MZU983053:MZU983054 NJQ983053:NJQ983054 NTM983053:NTM983054 ODI983053:ODI983054 ONE983053:ONE983054 OXA983053:OXA983054 PGW983053:PGW983054 PQS983053:PQS983054 QAO983053:QAO983054 QKK983053:QKK983054 QUG983053:QUG983054 REC983053:REC983054 RNY983053:RNY983054 RXU983053:RXU983054 SHQ983053:SHQ983054 SRM983053:SRM983054 TBI983053:TBI983054 TLE983053:TLE983054 TVA983053:TVA983054 UEW983053:UEW983054 UOS983053:UOS983054 UYO983053:UYO983054 VIK983053:VIK983054 VSG983053:VSG983054 WCC983053:WCC983054 WLY983053:WLY983054 WVU983053:WVU983054">
      <formula1>"上,中,下"</formula1>
    </dataValidation>
    <dataValidation type="whole" allowBlank="1" showInputMessage="1" showErrorMessage="1" sqref="L13:L14 JH13:JH14 TD13:TD14 ACZ13:ACZ14 AMV13:AMV14 AWR13:AWR14 BGN13:BGN14 BQJ13:BQJ14 CAF13:CAF14 CKB13:CKB14 CTX13:CTX14 DDT13:DDT14 DNP13:DNP14 DXL13:DXL14 EHH13:EHH14 ERD13:ERD14 FAZ13:FAZ14 FKV13:FKV14 FUR13:FUR14 GEN13:GEN14 GOJ13:GOJ14 GYF13:GYF14 HIB13:HIB14 HRX13:HRX14 IBT13:IBT14 ILP13:ILP14 IVL13:IVL14 JFH13:JFH14 JPD13:JPD14 JYZ13:JYZ14 KIV13:KIV14 KSR13:KSR14 LCN13:LCN14 LMJ13:LMJ14 LWF13:LWF14 MGB13:MGB14 MPX13:MPX14 MZT13:MZT14 NJP13:NJP14 NTL13:NTL14 ODH13:ODH14 OND13:OND14 OWZ13:OWZ14 PGV13:PGV14 PQR13:PQR14 QAN13:QAN14 QKJ13:QKJ14 QUF13:QUF14 REB13:REB14 RNX13:RNX14 RXT13:RXT14 SHP13:SHP14 SRL13:SRL14 TBH13:TBH14 TLD13:TLD14 TUZ13:TUZ14 UEV13:UEV14 UOR13:UOR14 UYN13:UYN14 VIJ13:VIJ14 VSF13:VSF14 WCB13:WCB14 WLX13:WLX14 WVT13:WVT14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formula1>1</formula1>
      <formula2>12</formula2>
    </dataValidation>
  </dataValidations>
  <printOptions horizontalCentered="1"/>
  <pageMargins left="0.78740157480314965" right="0.78740157480314965" top="0.78740157480314965" bottom="0.78740157480314965"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X107"/>
  <sheetViews>
    <sheetView showGridLines="0" workbookViewId="0">
      <pane ySplit="5" topLeftCell="A6" activePane="bottomLeft" state="frozen"/>
      <selection activeCell="I22" sqref="I22"/>
      <selection pane="bottomLeft" activeCell="C2" sqref="C2"/>
    </sheetView>
  </sheetViews>
  <sheetFormatPr defaultRowHeight="13.5" zeroHeight="1"/>
  <cols>
    <col min="1" max="1" width="13.5" style="89" bestFit="1" customWidth="1"/>
    <col min="2" max="2" width="32.375" style="89" customWidth="1"/>
    <col min="3" max="3" width="14.125" style="89" bestFit="1" customWidth="1"/>
    <col min="4" max="4" width="39" style="89" bestFit="1" customWidth="1"/>
    <col min="5" max="5" width="25.875" style="89" bestFit="1" customWidth="1"/>
    <col min="6" max="6" width="3.125" style="88" customWidth="1"/>
    <col min="7" max="24" width="9" style="88"/>
    <col min="25" max="16384" width="9" style="89"/>
  </cols>
  <sheetData>
    <row r="1" spans="1:24" s="86" customFormat="1">
      <c r="A1" s="84" t="s">
        <v>0</v>
      </c>
      <c r="B1" s="84" t="s">
        <v>275</v>
      </c>
      <c r="C1" s="84" t="s">
        <v>1</v>
      </c>
      <c r="D1" s="84" t="s">
        <v>2</v>
      </c>
      <c r="E1" s="322" t="s">
        <v>398</v>
      </c>
      <c r="F1" s="85"/>
      <c r="G1" s="85"/>
      <c r="H1" s="85"/>
      <c r="I1" s="85"/>
      <c r="J1" s="85"/>
      <c r="K1" s="85"/>
      <c r="L1" s="85"/>
      <c r="M1" s="85"/>
      <c r="N1" s="85"/>
      <c r="O1" s="85"/>
      <c r="P1" s="85"/>
      <c r="Q1" s="85"/>
      <c r="R1" s="85"/>
      <c r="S1" s="85"/>
      <c r="T1" s="85"/>
      <c r="U1" s="85"/>
      <c r="V1" s="85"/>
      <c r="W1" s="85"/>
      <c r="X1" s="85"/>
    </row>
    <row r="2" spans="1:24">
      <c r="A2" s="414" t="s">
        <v>528</v>
      </c>
      <c r="B2" s="87" t="s">
        <v>474</v>
      </c>
      <c r="C2" s="601" t="s">
        <v>529</v>
      </c>
      <c r="D2" s="375" t="s">
        <v>475</v>
      </c>
      <c r="E2" s="376">
        <v>9</v>
      </c>
    </row>
    <row r="3" spans="1:24" ht="9.75" customHeight="1">
      <c r="A3" s="415"/>
      <c r="B3" s="415"/>
      <c r="C3" s="415"/>
      <c r="D3" s="415"/>
      <c r="E3" s="415"/>
    </row>
    <row r="4" spans="1:24">
      <c r="A4" s="415" t="s">
        <v>3</v>
      </c>
      <c r="B4" s="415"/>
      <c r="C4" s="415"/>
      <c r="D4" s="415"/>
      <c r="E4" s="415"/>
    </row>
    <row r="5" spans="1:24" ht="21.95" customHeight="1">
      <c r="A5" s="90" t="s">
        <v>4</v>
      </c>
      <c r="B5" s="84" t="s">
        <v>5</v>
      </c>
      <c r="C5" s="84" t="s">
        <v>6</v>
      </c>
      <c r="D5" s="91" t="s">
        <v>7</v>
      </c>
      <c r="E5" s="84" t="s">
        <v>8</v>
      </c>
    </row>
    <row r="6" spans="1:24" ht="24" customHeight="1">
      <c r="A6" s="472" t="s">
        <v>442</v>
      </c>
      <c r="B6" s="367" t="s">
        <v>443</v>
      </c>
      <c r="C6" s="367" t="s">
        <v>444</v>
      </c>
      <c r="D6" s="368" t="s">
        <v>445</v>
      </c>
      <c r="E6" s="369" t="s">
        <v>446</v>
      </c>
    </row>
    <row r="7" spans="1:24" ht="24" customHeight="1">
      <c r="A7" s="372" t="s">
        <v>447</v>
      </c>
      <c r="B7" s="370" t="s">
        <v>448</v>
      </c>
      <c r="C7" s="370" t="s">
        <v>444</v>
      </c>
      <c r="D7" s="371" t="s">
        <v>449</v>
      </c>
      <c r="E7" s="370"/>
    </row>
    <row r="8" spans="1:24" ht="24" customHeight="1">
      <c r="A8" s="372" t="s">
        <v>450</v>
      </c>
      <c r="B8" s="370" t="s">
        <v>451</v>
      </c>
      <c r="C8" s="370" t="s">
        <v>454</v>
      </c>
      <c r="D8" s="371" t="s">
        <v>452</v>
      </c>
      <c r="E8" s="370"/>
    </row>
    <row r="9" spans="1:24" ht="24" customHeight="1">
      <c r="A9" s="372" t="s">
        <v>453</v>
      </c>
      <c r="B9" s="370"/>
      <c r="C9" s="370" t="s">
        <v>454</v>
      </c>
      <c r="D9" s="371" t="s">
        <v>455</v>
      </c>
      <c r="E9" s="370"/>
    </row>
    <row r="10" spans="1:24" ht="24" customHeight="1">
      <c r="A10" s="372" t="s">
        <v>530</v>
      </c>
      <c r="B10" s="370" t="s">
        <v>531</v>
      </c>
      <c r="C10" s="370" t="s">
        <v>532</v>
      </c>
      <c r="D10" s="371" t="s">
        <v>455</v>
      </c>
      <c r="E10" s="370"/>
    </row>
    <row r="11" spans="1:24" ht="24" customHeight="1">
      <c r="A11" s="372" t="s">
        <v>456</v>
      </c>
      <c r="B11" s="370" t="s">
        <v>457</v>
      </c>
      <c r="C11" s="370" t="s">
        <v>533</v>
      </c>
      <c r="D11" s="371" t="s">
        <v>458</v>
      </c>
      <c r="E11" s="370"/>
    </row>
    <row r="12" spans="1:24" ht="24" customHeight="1">
      <c r="A12" s="372" t="s">
        <v>459</v>
      </c>
      <c r="B12" s="370" t="s">
        <v>460</v>
      </c>
      <c r="C12" s="370" t="s">
        <v>534</v>
      </c>
      <c r="D12" s="371" t="s">
        <v>461</v>
      </c>
      <c r="E12" s="370"/>
    </row>
    <row r="13" spans="1:24" ht="24" customHeight="1">
      <c r="A13" s="372" t="s">
        <v>462</v>
      </c>
      <c r="B13" s="370" t="s">
        <v>463</v>
      </c>
      <c r="C13" s="370" t="s">
        <v>535</v>
      </c>
      <c r="D13" s="371" t="s">
        <v>464</v>
      </c>
      <c r="E13" s="370"/>
    </row>
    <row r="14" spans="1:24" ht="24" customHeight="1">
      <c r="A14" s="372" t="s">
        <v>465</v>
      </c>
      <c r="B14" s="370" t="s">
        <v>536</v>
      </c>
      <c r="C14" s="370" t="s">
        <v>537</v>
      </c>
      <c r="D14" s="371" t="s">
        <v>466</v>
      </c>
      <c r="E14" s="370"/>
    </row>
    <row r="15" spans="1:24" ht="24" customHeight="1">
      <c r="A15" s="372" t="s">
        <v>284</v>
      </c>
      <c r="B15" s="370" t="s">
        <v>467</v>
      </c>
      <c r="C15" s="370" t="s">
        <v>538</v>
      </c>
      <c r="D15" s="371" t="s">
        <v>468</v>
      </c>
      <c r="E15" s="370"/>
    </row>
    <row r="16" spans="1:24" ht="24" customHeight="1">
      <c r="A16" s="372" t="s">
        <v>469</v>
      </c>
      <c r="B16" s="370"/>
      <c r="C16" s="370" t="s">
        <v>538</v>
      </c>
      <c r="D16" s="371" t="s">
        <v>470</v>
      </c>
      <c r="E16" s="370"/>
    </row>
    <row r="17" spans="1:5" ht="24" customHeight="1">
      <c r="A17" s="372" t="s">
        <v>471</v>
      </c>
      <c r="B17" s="370" t="s">
        <v>472</v>
      </c>
      <c r="C17" s="370" t="s">
        <v>444</v>
      </c>
      <c r="D17" s="371" t="s">
        <v>473</v>
      </c>
      <c r="E17" s="370"/>
    </row>
    <row r="18" spans="1:5" ht="24" customHeight="1">
      <c r="A18" s="372"/>
      <c r="B18" s="370"/>
      <c r="C18" s="370"/>
      <c r="D18" s="371"/>
      <c r="E18" s="370"/>
    </row>
    <row r="19" spans="1:5" ht="24" customHeight="1">
      <c r="A19" s="372"/>
      <c r="B19" s="370"/>
      <c r="C19" s="370"/>
      <c r="D19" s="371"/>
      <c r="E19" s="370"/>
    </row>
    <row r="20" spans="1:5" ht="24" customHeight="1">
      <c r="A20" s="372"/>
      <c r="B20" s="370"/>
      <c r="C20" s="370"/>
      <c r="D20" s="371"/>
      <c r="E20" s="370"/>
    </row>
    <row r="21" spans="1:5" ht="24" customHeight="1">
      <c r="A21" s="372"/>
      <c r="B21" s="370"/>
      <c r="C21" s="370"/>
      <c r="D21" s="371"/>
      <c r="E21" s="370"/>
    </row>
    <row r="22" spans="1:5" ht="24" customHeight="1">
      <c r="A22" s="372"/>
      <c r="B22" s="370"/>
      <c r="C22" s="370"/>
      <c r="D22" s="371"/>
      <c r="E22" s="370"/>
    </row>
    <row r="23" spans="1:5" ht="24" customHeight="1">
      <c r="A23" s="372"/>
      <c r="B23" s="370"/>
      <c r="C23" s="370"/>
      <c r="D23" s="371"/>
      <c r="E23" s="370"/>
    </row>
    <row r="24" spans="1:5" ht="24" customHeight="1">
      <c r="A24" s="373"/>
      <c r="B24" s="373"/>
      <c r="C24" s="373"/>
      <c r="D24" s="373"/>
      <c r="E24" s="373"/>
    </row>
    <row r="25" spans="1:5" ht="24" customHeight="1">
      <c r="A25" s="374"/>
      <c r="B25" s="374"/>
      <c r="C25" s="374"/>
      <c r="D25" s="374"/>
      <c r="E25" s="374"/>
    </row>
    <row r="26" spans="1:5">
      <c r="A26" s="88"/>
      <c r="B26" s="88"/>
      <c r="C26" s="88"/>
      <c r="D26" s="88"/>
      <c r="E26" s="88"/>
    </row>
    <row r="27" spans="1:5">
      <c r="A27" s="88"/>
      <c r="B27" s="88"/>
      <c r="C27" s="88"/>
      <c r="D27" s="88"/>
      <c r="E27" s="88"/>
    </row>
    <row r="28" spans="1:5">
      <c r="A28" s="88"/>
      <c r="B28" s="88"/>
      <c r="C28" s="88"/>
      <c r="D28" s="88"/>
      <c r="E28" s="88"/>
    </row>
    <row r="29" spans="1:5">
      <c r="A29" s="88"/>
      <c r="B29" s="88"/>
      <c r="C29" s="88"/>
      <c r="D29" s="88"/>
      <c r="E29" s="88"/>
    </row>
    <row r="30" spans="1:5">
      <c r="A30" s="88"/>
      <c r="B30" s="88"/>
      <c r="C30" s="88"/>
      <c r="D30" s="88"/>
      <c r="E30" s="88"/>
    </row>
    <row r="31" spans="1:5">
      <c r="A31" s="88"/>
      <c r="B31" s="88"/>
      <c r="C31" s="88"/>
      <c r="D31" s="88"/>
      <c r="E31" s="88"/>
    </row>
    <row r="32" spans="1:5">
      <c r="A32" s="88"/>
      <c r="B32" s="88"/>
      <c r="C32" s="88"/>
      <c r="D32" s="88"/>
      <c r="E32" s="88"/>
    </row>
    <row r="33" spans="1:5">
      <c r="A33" s="88"/>
      <c r="B33" s="88"/>
      <c r="C33" s="88"/>
      <c r="D33" s="88"/>
      <c r="E33" s="88"/>
    </row>
    <row r="34" spans="1:5">
      <c r="A34" s="88"/>
      <c r="B34" s="88"/>
      <c r="C34" s="88"/>
      <c r="D34" s="88"/>
      <c r="E34" s="88"/>
    </row>
    <row r="35" spans="1:5">
      <c r="A35" s="88"/>
      <c r="B35" s="88"/>
      <c r="C35" s="88"/>
      <c r="D35" s="88"/>
      <c r="E35" s="88"/>
    </row>
    <row r="36" spans="1:5"/>
    <row r="37" spans="1:5"/>
    <row r="38" spans="1:5"/>
    <row r="39" spans="1:5"/>
    <row r="40" spans="1:5"/>
    <row r="41" spans="1:5"/>
    <row r="42" spans="1:5"/>
    <row r="43" spans="1:5"/>
    <row r="44" spans="1:5"/>
    <row r="45" spans="1:5"/>
    <row r="46" spans="1:5"/>
    <row r="47" spans="1:5"/>
    <row r="48" spans="1: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sheetData>
  <sheetProtection sheet="1" objects="1" scenarios="1" selectLockedCells="1"/>
  <phoneticPr fontId="14"/>
  <printOptions horizontalCentered="1"/>
  <pageMargins left="0.78740157480314965" right="0.59055118110236227" top="1.1811023622047245" bottom="0.39370078740157483" header="0.78740157480314965" footer="0.51181102362204722"/>
  <pageSetup paperSize="9" scale="85" firstPageNumber="0" orientation="landscape" cellComments="asDisplayed" horizontalDpi="4294967293" verticalDpi="300" r:id="rId1"/>
  <headerFooter alignWithMargins="0">
    <oddHeader>&amp;L二条大麦「サチホゴールデン」11月中旬播種（平坦地）</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CG129"/>
  <sheetViews>
    <sheetView showGridLines="0" tabSelected="1" workbookViewId="0">
      <pane xSplit="1" ySplit="4" topLeftCell="B5" activePane="bottomRight" state="frozen"/>
      <selection pane="topRight" activeCell="B1" sqref="B1"/>
      <selection pane="bottomLeft" activeCell="A5" sqref="A5"/>
      <selection pane="bottomRight" activeCell="B9" sqref="B9:C9"/>
    </sheetView>
  </sheetViews>
  <sheetFormatPr defaultRowHeight="12" zeroHeight="1"/>
  <cols>
    <col min="1" max="1" width="3.875" style="96" customWidth="1"/>
    <col min="2" max="2" width="2.875" style="96" customWidth="1"/>
    <col min="3" max="3" width="19.375" style="96" customWidth="1"/>
    <col min="4" max="4" width="27.125" style="96" customWidth="1"/>
    <col min="5" max="5" width="3.625" style="96" customWidth="1"/>
    <col min="6" max="6" width="2.625" style="96" bestFit="1" customWidth="1"/>
    <col min="7" max="8" width="3.375" style="96" customWidth="1"/>
    <col min="9" max="9" width="5.25" style="96" customWidth="1"/>
    <col min="10" max="12" width="12.25" style="96" customWidth="1"/>
    <col min="13" max="13" width="5.75" style="97" customWidth="1"/>
    <col min="14" max="15" width="11.25" style="97" customWidth="1"/>
    <col min="16" max="16" width="11.25" style="158" customWidth="1"/>
    <col min="17" max="19" width="11.25" style="96" customWidth="1"/>
    <col min="20" max="20" width="27.25" style="96" bestFit="1" customWidth="1"/>
    <col min="21" max="21" width="4.5" style="96" customWidth="1"/>
    <col min="22" max="22" width="15.125" style="96" customWidth="1"/>
    <col min="23" max="23" width="11.5" style="96" customWidth="1"/>
    <col min="24" max="24" width="12.125" style="96" customWidth="1"/>
    <col min="25" max="25" width="7.875" style="96" customWidth="1"/>
    <col min="26" max="26" width="8.875" style="96" customWidth="1"/>
    <col min="27" max="27" width="4.875" style="96" customWidth="1"/>
    <col min="28" max="28" width="16.25" style="96" customWidth="1"/>
    <col min="29" max="29" width="11.875" style="96" customWidth="1"/>
    <col min="30" max="30" width="8.25" style="96" customWidth="1"/>
    <col min="31" max="31" width="6.125" style="96" customWidth="1"/>
    <col min="32" max="32" width="6.625" style="96" customWidth="1"/>
    <col min="33" max="33" width="12.5" style="96" customWidth="1"/>
    <col min="34" max="16384" width="9" style="96"/>
  </cols>
  <sheetData>
    <row r="1" spans="1:85" ht="16.5" customHeight="1">
      <c r="A1" s="439" t="s">
        <v>9</v>
      </c>
      <c r="B1" s="92"/>
      <c r="C1" s="92"/>
      <c r="D1" s="93" t="s">
        <v>10</v>
      </c>
      <c r="E1" s="751">
        <f>①技術体系!E2*100</f>
        <v>900</v>
      </c>
      <c r="F1" s="751"/>
      <c r="G1" s="94" t="s">
        <v>11</v>
      </c>
      <c r="H1" s="95"/>
      <c r="I1" s="95"/>
      <c r="J1" s="95"/>
      <c r="P1" s="97"/>
      <c r="Q1" s="98" t="str">
        <f>①技術体系!A2</f>
        <v>ビール大麦</v>
      </c>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18.75" customHeight="1">
      <c r="A2" s="760" t="s">
        <v>12</v>
      </c>
      <c r="B2" s="760"/>
      <c r="C2" s="760"/>
      <c r="D2" s="100" t="s">
        <v>13</v>
      </c>
      <c r="E2" s="752" t="s">
        <v>14</v>
      </c>
      <c r="F2" s="752" t="s">
        <v>15</v>
      </c>
      <c r="G2" s="752" t="s">
        <v>16</v>
      </c>
      <c r="H2" s="745" t="s">
        <v>17</v>
      </c>
      <c r="I2" s="745" t="s">
        <v>18</v>
      </c>
      <c r="J2" s="204" t="s">
        <v>19</v>
      </c>
      <c r="K2" s="204" t="s">
        <v>20</v>
      </c>
      <c r="L2" s="100" t="s">
        <v>21</v>
      </c>
      <c r="M2" s="746" t="s">
        <v>22</v>
      </c>
      <c r="N2" s="747"/>
      <c r="O2" s="747"/>
      <c r="P2" s="747"/>
      <c r="Q2" s="747"/>
      <c r="R2" s="747"/>
      <c r="S2" s="748"/>
      <c r="T2" s="204"/>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row>
    <row r="3" spans="1:85" ht="17.25" customHeight="1">
      <c r="A3" s="101"/>
      <c r="B3" s="102"/>
      <c r="C3" s="103"/>
      <c r="D3" s="103"/>
      <c r="E3" s="752"/>
      <c r="F3" s="752"/>
      <c r="G3" s="752"/>
      <c r="H3" s="745"/>
      <c r="I3" s="745"/>
      <c r="J3" s="104"/>
      <c r="K3" s="104" t="s">
        <v>23</v>
      </c>
      <c r="L3" s="103" t="s">
        <v>20</v>
      </c>
      <c r="M3" s="749" t="s">
        <v>24</v>
      </c>
      <c r="N3" s="103" t="s">
        <v>25</v>
      </c>
      <c r="O3" s="103" t="s">
        <v>26</v>
      </c>
      <c r="P3" s="103" t="s">
        <v>27</v>
      </c>
      <c r="Q3" s="103" t="s">
        <v>28</v>
      </c>
      <c r="R3" s="103" t="s">
        <v>28</v>
      </c>
      <c r="S3" s="103" t="s">
        <v>29</v>
      </c>
      <c r="T3" s="103" t="s">
        <v>30</v>
      </c>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row>
    <row r="4" spans="1:85" ht="18" customHeight="1">
      <c r="A4" s="105"/>
      <c r="B4" s="106"/>
      <c r="C4" s="107"/>
      <c r="D4" s="107"/>
      <c r="E4" s="752"/>
      <c r="F4" s="752"/>
      <c r="G4" s="752"/>
      <c r="H4" s="745"/>
      <c r="I4" s="745"/>
      <c r="J4" s="108"/>
      <c r="K4" s="108"/>
      <c r="L4" s="107"/>
      <c r="M4" s="749"/>
      <c r="N4" s="107"/>
      <c r="O4" s="107"/>
      <c r="P4" s="107"/>
      <c r="Q4" s="107"/>
      <c r="R4" s="109" t="s">
        <v>31</v>
      </c>
      <c r="S4" s="109" t="s">
        <v>31</v>
      </c>
      <c r="T4" s="107"/>
      <c r="U4" s="99"/>
      <c r="V4" s="23"/>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row>
    <row r="5" spans="1:85" ht="14.1" customHeight="1">
      <c r="A5" s="110"/>
      <c r="B5" s="761" t="s">
        <v>287</v>
      </c>
      <c r="C5" s="762"/>
      <c r="D5" s="111" t="s">
        <v>476</v>
      </c>
      <c r="E5" s="112">
        <v>1</v>
      </c>
      <c r="F5" s="112" t="s">
        <v>285</v>
      </c>
      <c r="G5" s="113"/>
      <c r="H5" s="112">
        <v>24</v>
      </c>
      <c r="I5" s="123">
        <v>1</v>
      </c>
      <c r="J5" s="114">
        <v>3720000</v>
      </c>
      <c r="K5" s="395">
        <f>J5*E5</f>
        <v>3720000</v>
      </c>
      <c r="L5" s="396">
        <f>IF(I5="",K5,I5*K5)</f>
        <v>3720000</v>
      </c>
      <c r="M5" s="113">
        <v>0.4</v>
      </c>
      <c r="N5" s="405">
        <f>IF(I5="",INT(K5*M5),INT(K5*I5*M5))</f>
        <v>1488000</v>
      </c>
      <c r="O5" s="405">
        <f>N5*(G5)</f>
        <v>0</v>
      </c>
      <c r="P5" s="406">
        <f>N5-O5</f>
        <v>1488000</v>
      </c>
      <c r="Q5" s="405">
        <f>IF(H5="",0,ROUND(P5/H5,0))</f>
        <v>62000</v>
      </c>
      <c r="R5" s="405">
        <f>IF(Q5=0,0,INT(Q5/$E$1*10))</f>
        <v>688</v>
      </c>
      <c r="S5" s="405">
        <f>IF(R5=0,0,$D$42*K5*M5/$E$1*10)</f>
        <v>165.33333333333334</v>
      </c>
      <c r="T5" s="325"/>
      <c r="U5" s="202"/>
      <c r="V5" s="203"/>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row>
    <row r="6" spans="1:85" ht="14.1" customHeight="1">
      <c r="A6" s="115" t="s">
        <v>32</v>
      </c>
      <c r="B6" s="763"/>
      <c r="C6" s="764"/>
      <c r="D6" s="111"/>
      <c r="E6" s="112"/>
      <c r="F6" s="112"/>
      <c r="G6" s="113"/>
      <c r="H6" s="112"/>
      <c r="I6" s="123"/>
      <c r="J6" s="116"/>
      <c r="K6" s="395">
        <f>J6*E6</f>
        <v>0</v>
      </c>
      <c r="L6" s="397">
        <f>IF(I6="",K6,I6*K6)</f>
        <v>0</v>
      </c>
      <c r="M6" s="113"/>
      <c r="N6" s="405">
        <f>IF(I6="",INT(K6*M6),INT(K6*I6*M6))</f>
        <v>0</v>
      </c>
      <c r="O6" s="405">
        <f>N6*(G6)</f>
        <v>0</v>
      </c>
      <c r="P6" s="406">
        <f>N6-O6</f>
        <v>0</v>
      </c>
      <c r="Q6" s="405">
        <f>IF(H6="",0,ROUND(P6/H6,0))</f>
        <v>0</v>
      </c>
      <c r="R6" s="405">
        <f t="shared" ref="R6:R18" si="0">IF(Q6=0,0,INT(Q6/$E$1*10))</f>
        <v>0</v>
      </c>
      <c r="S6" s="405">
        <f>IF(R6=0,0,$D$42*K6*M6/$E$1*10)</f>
        <v>0</v>
      </c>
      <c r="T6" s="326"/>
      <c r="U6" s="99"/>
      <c r="V6" s="1"/>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row>
    <row r="7" spans="1:85" ht="14.1" customHeight="1">
      <c r="A7" s="115" t="s">
        <v>33</v>
      </c>
      <c r="B7" s="763"/>
      <c r="C7" s="764"/>
      <c r="D7" s="111"/>
      <c r="E7" s="112"/>
      <c r="F7" s="112"/>
      <c r="G7" s="113"/>
      <c r="H7" s="112"/>
      <c r="I7" s="123"/>
      <c r="J7" s="117"/>
      <c r="K7" s="395">
        <f>J7*E7</f>
        <v>0</v>
      </c>
      <c r="L7" s="397">
        <f>IF(I7="",K7,I7*K7)</f>
        <v>0</v>
      </c>
      <c r="M7" s="113"/>
      <c r="N7" s="405">
        <f>IF(I7="",INT(K7*M7),INT(K7*I7*M7))</f>
        <v>0</v>
      </c>
      <c r="O7" s="405">
        <f>N7*(G7)</f>
        <v>0</v>
      </c>
      <c r="P7" s="406">
        <f>N7-O7</f>
        <v>0</v>
      </c>
      <c r="Q7" s="405">
        <f>IF(H7="",0,ROUND(P7/H7,0))</f>
        <v>0</v>
      </c>
      <c r="R7" s="405">
        <f t="shared" si="0"/>
        <v>0</v>
      </c>
      <c r="S7" s="405">
        <f>IF(R7=0,0,$D$42*K7*M7/$E$1*10)</f>
        <v>0</v>
      </c>
      <c r="T7" s="326"/>
      <c r="U7" s="99"/>
      <c r="V7" s="1"/>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row>
    <row r="8" spans="1:85" ht="14.1" customHeight="1">
      <c r="A8" s="118"/>
      <c r="B8" s="765" t="s">
        <v>581</v>
      </c>
      <c r="C8" s="766"/>
      <c r="D8" s="427"/>
      <c r="E8" s="428"/>
      <c r="F8" s="428"/>
      <c r="G8" s="429"/>
      <c r="H8" s="428"/>
      <c r="I8" s="430"/>
      <c r="J8" s="431"/>
      <c r="K8" s="398">
        <f>SUM(K5:K7)</f>
        <v>3720000</v>
      </c>
      <c r="L8" s="399">
        <f>SUM(L5:L7)</f>
        <v>3720000</v>
      </c>
      <c r="M8" s="429"/>
      <c r="N8" s="402">
        <f t="shared" ref="N8:S8" si="1">SUM(N5:N7)</f>
        <v>1488000</v>
      </c>
      <c r="O8" s="402">
        <f t="shared" si="1"/>
        <v>0</v>
      </c>
      <c r="P8" s="402">
        <f t="shared" si="1"/>
        <v>1488000</v>
      </c>
      <c r="Q8" s="402">
        <f t="shared" si="1"/>
        <v>62000</v>
      </c>
      <c r="R8" s="402">
        <f t="shared" si="1"/>
        <v>688</v>
      </c>
      <c r="S8" s="402">
        <f t="shared" si="1"/>
        <v>165.33333333333334</v>
      </c>
      <c r="T8" s="119"/>
      <c r="U8" s="99"/>
      <c r="V8" s="1"/>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row>
    <row r="9" spans="1:85" ht="14.1" customHeight="1">
      <c r="A9" s="115"/>
      <c r="B9" s="761"/>
      <c r="C9" s="762"/>
      <c r="D9" s="111"/>
      <c r="E9" s="112"/>
      <c r="F9" s="112"/>
      <c r="G9" s="113"/>
      <c r="H9" s="112"/>
      <c r="I9" s="123"/>
      <c r="J9" s="201"/>
      <c r="K9" s="395">
        <f>J9*E9</f>
        <v>0</v>
      </c>
      <c r="L9" s="397">
        <f t="shared" ref="L9:L16" si="2">IF(I9="",K9,I9*K9)</f>
        <v>0</v>
      </c>
      <c r="M9" s="113"/>
      <c r="N9" s="405">
        <f t="shared" ref="N9:N16" si="3">IF(I9="",INT(K9*M9),INT(K9*I9*M9))</f>
        <v>0</v>
      </c>
      <c r="O9" s="405">
        <f t="shared" ref="O9:O16" si="4">N9*(G9)</f>
        <v>0</v>
      </c>
      <c r="P9" s="406">
        <f t="shared" ref="P9:P16" si="5">N9-O9</f>
        <v>0</v>
      </c>
      <c r="Q9" s="405">
        <f t="shared" ref="Q9:Q16" si="6">IF(H9="",0,ROUND(P9/H9,0))</f>
        <v>0</v>
      </c>
      <c r="R9" s="405">
        <f t="shared" si="0"/>
        <v>0</v>
      </c>
      <c r="S9" s="405">
        <f>IF(R9=0,0,$D$42*K9*M9/$E$1*10)</f>
        <v>0</v>
      </c>
      <c r="T9" s="326"/>
      <c r="U9" s="99"/>
      <c r="V9" s="1"/>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row>
    <row r="10" spans="1:85" ht="14.1" customHeight="1">
      <c r="A10" s="115"/>
      <c r="B10" s="763"/>
      <c r="C10" s="764"/>
      <c r="D10" s="111"/>
      <c r="E10" s="112"/>
      <c r="F10" s="112"/>
      <c r="G10" s="113"/>
      <c r="H10" s="112"/>
      <c r="I10" s="123"/>
      <c r="J10" s="201"/>
      <c r="K10" s="395">
        <f t="shared" ref="K10:K16" si="7">J10*E10</f>
        <v>0</v>
      </c>
      <c r="L10" s="397">
        <f t="shared" si="2"/>
        <v>0</v>
      </c>
      <c r="M10" s="113"/>
      <c r="N10" s="405">
        <f t="shared" si="3"/>
        <v>0</v>
      </c>
      <c r="O10" s="405">
        <f t="shared" si="4"/>
        <v>0</v>
      </c>
      <c r="P10" s="406">
        <f t="shared" si="5"/>
        <v>0</v>
      </c>
      <c r="Q10" s="405">
        <f t="shared" si="6"/>
        <v>0</v>
      </c>
      <c r="R10" s="405">
        <f t="shared" si="0"/>
        <v>0</v>
      </c>
      <c r="S10" s="405">
        <f>IF(R10=0,0,$D$42*K10*M10/$E$1*10)</f>
        <v>0</v>
      </c>
      <c r="T10" s="325"/>
      <c r="U10" s="99"/>
      <c r="V10" s="1"/>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row>
    <row r="11" spans="1:85" ht="14.1" customHeight="1">
      <c r="A11" s="120" t="s">
        <v>34</v>
      </c>
      <c r="B11" s="763"/>
      <c r="C11" s="764"/>
      <c r="D11" s="473"/>
      <c r="E11" s="112"/>
      <c r="F11" s="112"/>
      <c r="G11" s="113"/>
      <c r="H11" s="112"/>
      <c r="I11" s="123"/>
      <c r="J11" s="201"/>
      <c r="K11" s="395">
        <f t="shared" si="7"/>
        <v>0</v>
      </c>
      <c r="L11" s="397">
        <f t="shared" si="2"/>
        <v>0</v>
      </c>
      <c r="M11" s="113"/>
      <c r="N11" s="405">
        <f t="shared" si="3"/>
        <v>0</v>
      </c>
      <c r="O11" s="405">
        <f t="shared" si="4"/>
        <v>0</v>
      </c>
      <c r="P11" s="406">
        <f t="shared" si="5"/>
        <v>0</v>
      </c>
      <c r="Q11" s="405">
        <f t="shared" si="6"/>
        <v>0</v>
      </c>
      <c r="R11" s="405">
        <f t="shared" si="0"/>
        <v>0</v>
      </c>
      <c r="S11" s="405">
        <f>IF(R11=0,0,$D$42*K11*M11/$E$1*10)</f>
        <v>0</v>
      </c>
      <c r="T11" s="325"/>
      <c r="U11" s="99"/>
      <c r="V11" s="1"/>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row>
    <row r="12" spans="1:85" ht="14.1" customHeight="1">
      <c r="A12" s="120"/>
      <c r="B12" s="763"/>
      <c r="C12" s="764"/>
      <c r="D12" s="473"/>
      <c r="E12" s="112"/>
      <c r="F12" s="112"/>
      <c r="G12" s="113"/>
      <c r="H12" s="112"/>
      <c r="I12" s="123"/>
      <c r="J12" s="201"/>
      <c r="K12" s="395">
        <f t="shared" si="7"/>
        <v>0</v>
      </c>
      <c r="L12" s="397">
        <f t="shared" si="2"/>
        <v>0</v>
      </c>
      <c r="M12" s="113"/>
      <c r="N12" s="405">
        <f t="shared" si="3"/>
        <v>0</v>
      </c>
      <c r="O12" s="405">
        <f t="shared" si="4"/>
        <v>0</v>
      </c>
      <c r="P12" s="406">
        <f t="shared" si="5"/>
        <v>0</v>
      </c>
      <c r="Q12" s="405">
        <f t="shared" si="6"/>
        <v>0</v>
      </c>
      <c r="R12" s="405">
        <f t="shared" si="0"/>
        <v>0</v>
      </c>
      <c r="S12" s="405">
        <f>IF(R12=0,0,$D$42*K12*M12/$E$1*10)</f>
        <v>0</v>
      </c>
      <c r="T12" s="325"/>
      <c r="U12" s="99"/>
      <c r="V12" s="1"/>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row>
    <row r="13" spans="1:85" ht="14.1" customHeight="1">
      <c r="A13" s="120" t="s">
        <v>35</v>
      </c>
      <c r="B13" s="763"/>
      <c r="C13" s="764"/>
      <c r="D13" s="111"/>
      <c r="E13" s="112"/>
      <c r="F13" s="112"/>
      <c r="G13" s="113"/>
      <c r="H13" s="112"/>
      <c r="I13" s="123"/>
      <c r="J13" s="474"/>
      <c r="K13" s="395">
        <f t="shared" si="7"/>
        <v>0</v>
      </c>
      <c r="L13" s="397">
        <f t="shared" si="2"/>
        <v>0</v>
      </c>
      <c r="M13" s="113"/>
      <c r="N13" s="405">
        <f t="shared" si="3"/>
        <v>0</v>
      </c>
      <c r="O13" s="405">
        <f t="shared" si="4"/>
        <v>0</v>
      </c>
      <c r="P13" s="406">
        <f t="shared" si="5"/>
        <v>0</v>
      </c>
      <c r="Q13" s="405">
        <f t="shared" si="6"/>
        <v>0</v>
      </c>
      <c r="R13" s="405">
        <f t="shared" si="0"/>
        <v>0</v>
      </c>
      <c r="S13" s="405">
        <f>IF(R13=0,0,$D$42*K13*M13/$E$1*10)</f>
        <v>0</v>
      </c>
      <c r="T13" s="325"/>
      <c r="U13" s="99"/>
      <c r="V13" s="1"/>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row>
    <row r="14" spans="1:85" ht="14.1" customHeight="1">
      <c r="A14" s="120"/>
      <c r="B14" s="763"/>
      <c r="C14" s="764"/>
      <c r="D14" s="111"/>
      <c r="E14" s="112"/>
      <c r="F14" s="112"/>
      <c r="G14" s="122"/>
      <c r="H14" s="112"/>
      <c r="I14" s="123"/>
      <c r="J14" s="117"/>
      <c r="K14" s="400">
        <f t="shared" si="7"/>
        <v>0</v>
      </c>
      <c r="L14" s="401">
        <f t="shared" si="2"/>
        <v>0</v>
      </c>
      <c r="M14" s="113"/>
      <c r="N14" s="405">
        <f t="shared" si="3"/>
        <v>0</v>
      </c>
      <c r="O14" s="405">
        <f t="shared" si="4"/>
        <v>0</v>
      </c>
      <c r="P14" s="406">
        <f t="shared" si="5"/>
        <v>0</v>
      </c>
      <c r="Q14" s="405">
        <f t="shared" si="6"/>
        <v>0</v>
      </c>
      <c r="R14" s="405">
        <f t="shared" si="0"/>
        <v>0</v>
      </c>
      <c r="S14" s="405">
        <f>IF(R14=0,0,$D$43*K14*M14/$E$1*10)</f>
        <v>0</v>
      </c>
      <c r="T14" s="326"/>
      <c r="U14" s="99"/>
      <c r="V14" s="1"/>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row>
    <row r="15" spans="1:85" ht="14.1" customHeight="1">
      <c r="A15" s="120"/>
      <c r="B15" s="763"/>
      <c r="C15" s="764"/>
      <c r="D15" s="111"/>
      <c r="E15" s="112"/>
      <c r="F15" s="112"/>
      <c r="G15" s="122"/>
      <c r="H15" s="112"/>
      <c r="I15" s="123"/>
      <c r="J15" s="117"/>
      <c r="K15" s="400">
        <f t="shared" si="7"/>
        <v>0</v>
      </c>
      <c r="L15" s="401">
        <f t="shared" si="2"/>
        <v>0</v>
      </c>
      <c r="M15" s="113"/>
      <c r="N15" s="405">
        <f t="shared" si="3"/>
        <v>0</v>
      </c>
      <c r="O15" s="405">
        <f t="shared" si="4"/>
        <v>0</v>
      </c>
      <c r="P15" s="406">
        <f t="shared" si="5"/>
        <v>0</v>
      </c>
      <c r="Q15" s="405">
        <f t="shared" si="6"/>
        <v>0</v>
      </c>
      <c r="R15" s="405">
        <f t="shared" si="0"/>
        <v>0</v>
      </c>
      <c r="S15" s="405">
        <f>IF(R15=0,0,$D$43*K15*M15/$E$1*10)</f>
        <v>0</v>
      </c>
      <c r="T15" s="326"/>
      <c r="U15" s="99"/>
      <c r="V15" s="1"/>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row>
    <row r="16" spans="1:85" ht="14.1" customHeight="1">
      <c r="A16" s="120"/>
      <c r="B16" s="763"/>
      <c r="C16" s="764"/>
      <c r="D16" s="111"/>
      <c r="E16" s="112"/>
      <c r="F16" s="112"/>
      <c r="G16" s="113"/>
      <c r="H16" s="112"/>
      <c r="I16" s="123"/>
      <c r="J16" s="200"/>
      <c r="K16" s="395">
        <f t="shared" si="7"/>
        <v>0</v>
      </c>
      <c r="L16" s="397">
        <f t="shared" si="2"/>
        <v>0</v>
      </c>
      <c r="M16" s="113"/>
      <c r="N16" s="405">
        <f t="shared" si="3"/>
        <v>0</v>
      </c>
      <c r="O16" s="405">
        <f t="shared" si="4"/>
        <v>0</v>
      </c>
      <c r="P16" s="406">
        <f t="shared" si="5"/>
        <v>0</v>
      </c>
      <c r="Q16" s="405">
        <f t="shared" si="6"/>
        <v>0</v>
      </c>
      <c r="R16" s="405">
        <f t="shared" si="0"/>
        <v>0</v>
      </c>
      <c r="S16" s="405">
        <f>IF(R16=0,0,$D$42*K16*M16/$E$1*10)</f>
        <v>0</v>
      </c>
      <c r="T16" s="326"/>
      <c r="U16" s="99"/>
      <c r="V16" s="1"/>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row>
    <row r="17" spans="1:84" ht="14.1" customHeight="1">
      <c r="A17" s="120"/>
      <c r="B17" s="763"/>
      <c r="C17" s="764"/>
      <c r="D17" s="111"/>
      <c r="E17" s="112"/>
      <c r="F17" s="112"/>
      <c r="G17" s="113"/>
      <c r="H17" s="112"/>
      <c r="I17" s="123"/>
      <c r="J17" s="200"/>
      <c r="K17" s="395">
        <f>J17*E17</f>
        <v>0</v>
      </c>
      <c r="L17" s="397">
        <f>IF(I17="",K17,I17*K17)</f>
        <v>0</v>
      </c>
      <c r="M17" s="113"/>
      <c r="N17" s="405">
        <f>IF(I17="",INT(K17*M17),INT(K17*I17*M17))</f>
        <v>0</v>
      </c>
      <c r="O17" s="405">
        <f>N17*(G17)</f>
        <v>0</v>
      </c>
      <c r="P17" s="406">
        <f>N17-O17</f>
        <v>0</v>
      </c>
      <c r="Q17" s="405">
        <f>IF(H17="",0,ROUND(P17/H17,0))</f>
        <v>0</v>
      </c>
      <c r="R17" s="405">
        <f t="shared" si="0"/>
        <v>0</v>
      </c>
      <c r="S17" s="405">
        <f>IF(R17=0,0,$D$42*K17*M17/$E$1*10)</f>
        <v>0</v>
      </c>
      <c r="T17" s="326"/>
      <c r="U17" s="99"/>
      <c r="V17" s="1"/>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row>
    <row r="18" spans="1:84" ht="14.1" customHeight="1">
      <c r="A18" s="120"/>
      <c r="B18" s="763"/>
      <c r="C18" s="764"/>
      <c r="D18" s="111"/>
      <c r="E18" s="112"/>
      <c r="F18" s="112"/>
      <c r="G18" s="113"/>
      <c r="H18" s="112"/>
      <c r="I18" s="123"/>
      <c r="J18" s="200"/>
      <c r="K18" s="395">
        <f>J18*E18</f>
        <v>0</v>
      </c>
      <c r="L18" s="397">
        <f>IF(I18="",K18,I18*K18)</f>
        <v>0</v>
      </c>
      <c r="M18" s="113"/>
      <c r="N18" s="405">
        <f>IF(I18="",INT(K18*M18),INT(K18*I18*M18))</f>
        <v>0</v>
      </c>
      <c r="O18" s="405">
        <f>N18*(G18)</f>
        <v>0</v>
      </c>
      <c r="P18" s="406">
        <f>N18-O18</f>
        <v>0</v>
      </c>
      <c r="Q18" s="405">
        <f>IF(H18="",0,ROUND(P18/H18,0))</f>
        <v>0</v>
      </c>
      <c r="R18" s="405">
        <f t="shared" si="0"/>
        <v>0</v>
      </c>
      <c r="S18" s="405">
        <f>IF(R18=0,0,$D$42*K18*M18/$E$1*10)</f>
        <v>0</v>
      </c>
      <c r="T18" s="326"/>
      <c r="U18" s="99"/>
      <c r="V18" s="1"/>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row>
    <row r="19" spans="1:84" ht="14.1" customHeight="1">
      <c r="A19" s="121"/>
      <c r="B19" s="765" t="s">
        <v>36</v>
      </c>
      <c r="C19" s="766"/>
      <c r="D19" s="427"/>
      <c r="E19" s="428"/>
      <c r="F19" s="428"/>
      <c r="G19" s="427"/>
      <c r="H19" s="432"/>
      <c r="I19" s="433"/>
      <c r="J19" s="434"/>
      <c r="K19" s="398">
        <f>SUM(K9:K18)</f>
        <v>0</v>
      </c>
      <c r="L19" s="402">
        <f>SUM(L9:L18)</f>
        <v>0</v>
      </c>
      <c r="M19" s="427"/>
      <c r="N19" s="402">
        <f t="shared" ref="N19:S19" si="8">SUM(N9:N18)</f>
        <v>0</v>
      </c>
      <c r="O19" s="402">
        <f t="shared" si="8"/>
        <v>0</v>
      </c>
      <c r="P19" s="402">
        <f t="shared" si="8"/>
        <v>0</v>
      </c>
      <c r="Q19" s="402">
        <f t="shared" si="8"/>
        <v>0</v>
      </c>
      <c r="R19" s="402">
        <f t="shared" si="8"/>
        <v>0</v>
      </c>
      <c r="S19" s="402">
        <f t="shared" si="8"/>
        <v>0</v>
      </c>
      <c r="T19" s="119"/>
      <c r="U19" s="99"/>
      <c r="V19" s="1"/>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row>
    <row r="20" spans="1:84" ht="14.1" customHeight="1">
      <c r="A20" s="753" t="s">
        <v>292</v>
      </c>
      <c r="B20" s="761" t="s">
        <v>483</v>
      </c>
      <c r="C20" s="762"/>
      <c r="D20" s="111" t="s">
        <v>477</v>
      </c>
      <c r="E20" s="112">
        <v>1</v>
      </c>
      <c r="F20" s="112" t="s">
        <v>286</v>
      </c>
      <c r="G20" s="122"/>
      <c r="H20" s="112">
        <v>7</v>
      </c>
      <c r="I20" s="123">
        <v>1</v>
      </c>
      <c r="J20" s="201">
        <v>3159450</v>
      </c>
      <c r="K20" s="395">
        <f>J20*E20</f>
        <v>3159450</v>
      </c>
      <c r="L20" s="397">
        <f>IF(I20="",K20,I20*K20)</f>
        <v>3159450</v>
      </c>
      <c r="M20" s="123">
        <v>0.2</v>
      </c>
      <c r="N20" s="405">
        <f t="shared" ref="N20:N21" si="9">IF(I20="",INT(K20*M20),INT(K20*I20*M20))</f>
        <v>631890</v>
      </c>
      <c r="O20" s="405">
        <f t="shared" ref="O20:O21" si="10">N20*(G20)</f>
        <v>0</v>
      </c>
      <c r="P20" s="406">
        <f t="shared" ref="P20:P21" si="11">N20-O20</f>
        <v>631890</v>
      </c>
      <c r="Q20" s="405">
        <f t="shared" ref="Q20:Q21" si="12">IF(H20="",0,ROUND(P20/H20,0))</f>
        <v>90270</v>
      </c>
      <c r="R20" s="405">
        <f>IF(Q20=0,0,INT(Q20/$E$1*10))</f>
        <v>1003</v>
      </c>
      <c r="S20" s="407">
        <f t="shared" ref="S20:S33" si="13">IF(R20=0,0,$D$43*K20*M20/$E$1*10)</f>
        <v>280.84000000000003</v>
      </c>
      <c r="T20" s="326"/>
      <c r="U20" s="99"/>
      <c r="V20" s="1"/>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row>
    <row r="21" spans="1:84" ht="14.1" customHeight="1">
      <c r="A21" s="754"/>
      <c r="B21" s="763" t="s">
        <v>485</v>
      </c>
      <c r="C21" s="764"/>
      <c r="D21" s="111" t="s">
        <v>478</v>
      </c>
      <c r="E21" s="112">
        <v>1</v>
      </c>
      <c r="F21" s="112" t="s">
        <v>286</v>
      </c>
      <c r="G21" s="122"/>
      <c r="H21" s="112">
        <v>7</v>
      </c>
      <c r="I21" s="123">
        <v>1</v>
      </c>
      <c r="J21" s="201">
        <v>260000</v>
      </c>
      <c r="K21" s="395">
        <f>J21*E21</f>
        <v>260000</v>
      </c>
      <c r="L21" s="397">
        <f>IF(I21="",K21,I21*K21)</f>
        <v>260000</v>
      </c>
      <c r="M21" s="123">
        <v>0.2</v>
      </c>
      <c r="N21" s="405">
        <f t="shared" si="9"/>
        <v>52000</v>
      </c>
      <c r="O21" s="405">
        <f t="shared" si="10"/>
        <v>0</v>
      </c>
      <c r="P21" s="406">
        <f t="shared" si="11"/>
        <v>52000</v>
      </c>
      <c r="Q21" s="405">
        <f t="shared" si="12"/>
        <v>7429</v>
      </c>
      <c r="R21" s="405">
        <f t="shared" ref="R21" si="14">IF(Q21=0,0,INT(Q21/$E$1*10))</f>
        <v>82</v>
      </c>
      <c r="S21" s="405">
        <f t="shared" si="13"/>
        <v>23.111111111111107</v>
      </c>
      <c r="T21" s="326"/>
      <c r="U21" s="99"/>
      <c r="V21" s="1"/>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row>
    <row r="22" spans="1:84" ht="14.1" customHeight="1">
      <c r="A22" s="755"/>
      <c r="B22" s="763" t="s">
        <v>486</v>
      </c>
      <c r="C22" s="764"/>
      <c r="D22" s="111" t="s">
        <v>479</v>
      </c>
      <c r="E22" s="112">
        <v>1</v>
      </c>
      <c r="F22" s="112"/>
      <c r="G22" s="122"/>
      <c r="H22" s="112">
        <v>7</v>
      </c>
      <c r="I22" s="123">
        <v>1</v>
      </c>
      <c r="J22" s="201">
        <v>169000</v>
      </c>
      <c r="K22" s="395">
        <f t="shared" ref="K22:K31" si="15">J22*E22</f>
        <v>169000</v>
      </c>
      <c r="L22" s="397">
        <f t="shared" ref="L22:L31" si="16">IF(I22="",K22,I22*K22)</f>
        <v>169000</v>
      </c>
      <c r="M22" s="123">
        <v>0.2</v>
      </c>
      <c r="N22" s="405">
        <f t="shared" ref="N22:N30" si="17">IF(I22="",INT(K22*M22),INT(K22*I22*M22))</f>
        <v>33800</v>
      </c>
      <c r="O22" s="405">
        <f t="shared" ref="O22:O30" si="18">N22*(G22)</f>
        <v>0</v>
      </c>
      <c r="P22" s="406">
        <f t="shared" ref="P22:P30" si="19">N22-O22</f>
        <v>33800</v>
      </c>
      <c r="Q22" s="405">
        <f t="shared" ref="Q22:Q30" si="20">IF(H22="",0,ROUND(P22/H22,0))</f>
        <v>4829</v>
      </c>
      <c r="R22" s="405">
        <f t="shared" ref="R22:R30" si="21">IF(Q22=0,0,INT(Q22/$E$1*10))</f>
        <v>53</v>
      </c>
      <c r="S22" s="405">
        <f t="shared" ref="S22:S30" si="22">IF(R22=0,0,$D$43*K22*M22/$E$1*10)</f>
        <v>15.022222222222222</v>
      </c>
      <c r="T22" s="326"/>
      <c r="U22" s="99"/>
      <c r="V22" s="1"/>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row>
    <row r="23" spans="1:84" ht="14.1" customHeight="1">
      <c r="A23" s="755"/>
      <c r="B23" s="763" t="s">
        <v>575</v>
      </c>
      <c r="C23" s="764"/>
      <c r="D23" s="111" t="s">
        <v>480</v>
      </c>
      <c r="E23" s="112">
        <v>1</v>
      </c>
      <c r="F23" s="112"/>
      <c r="G23" s="122"/>
      <c r="H23" s="112">
        <v>7</v>
      </c>
      <c r="I23" s="123">
        <v>1</v>
      </c>
      <c r="J23" s="201">
        <v>556000</v>
      </c>
      <c r="K23" s="395">
        <f t="shared" si="15"/>
        <v>556000</v>
      </c>
      <c r="L23" s="397">
        <f t="shared" si="16"/>
        <v>556000</v>
      </c>
      <c r="M23" s="123">
        <v>0.33</v>
      </c>
      <c r="N23" s="405">
        <f t="shared" si="17"/>
        <v>183480</v>
      </c>
      <c r="O23" s="405">
        <f t="shared" si="18"/>
        <v>0</v>
      </c>
      <c r="P23" s="406">
        <f t="shared" si="19"/>
        <v>183480</v>
      </c>
      <c r="Q23" s="405">
        <f t="shared" si="20"/>
        <v>26211</v>
      </c>
      <c r="R23" s="405">
        <f t="shared" si="21"/>
        <v>291</v>
      </c>
      <c r="S23" s="405">
        <f t="shared" si="22"/>
        <v>81.546666666666681</v>
      </c>
      <c r="T23" s="326"/>
      <c r="U23" s="99"/>
      <c r="V23" s="1"/>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row>
    <row r="24" spans="1:84" ht="14.1" customHeight="1">
      <c r="A24" s="755"/>
      <c r="B24" s="763" t="s">
        <v>487</v>
      </c>
      <c r="C24" s="764"/>
      <c r="D24" s="111" t="s">
        <v>481</v>
      </c>
      <c r="E24" s="112">
        <v>1</v>
      </c>
      <c r="F24" s="112" t="s">
        <v>286</v>
      </c>
      <c r="G24" s="122"/>
      <c r="H24" s="112">
        <v>7</v>
      </c>
      <c r="I24" s="123">
        <v>1</v>
      </c>
      <c r="J24" s="201">
        <v>6258000</v>
      </c>
      <c r="K24" s="395">
        <f t="shared" si="15"/>
        <v>6258000</v>
      </c>
      <c r="L24" s="397">
        <f t="shared" si="16"/>
        <v>6258000</v>
      </c>
      <c r="M24" s="123">
        <v>0.33</v>
      </c>
      <c r="N24" s="405">
        <f t="shared" si="17"/>
        <v>2065140</v>
      </c>
      <c r="O24" s="405">
        <f t="shared" si="18"/>
        <v>0</v>
      </c>
      <c r="P24" s="406">
        <f t="shared" si="19"/>
        <v>2065140</v>
      </c>
      <c r="Q24" s="405">
        <f t="shared" si="20"/>
        <v>295020</v>
      </c>
      <c r="R24" s="405">
        <f t="shared" si="21"/>
        <v>3278</v>
      </c>
      <c r="S24" s="405">
        <f t="shared" si="22"/>
        <v>917.84</v>
      </c>
      <c r="T24" s="326"/>
      <c r="U24" s="99"/>
      <c r="V24" s="1"/>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row>
    <row r="25" spans="1:84" ht="14.1" customHeight="1">
      <c r="A25" s="755"/>
      <c r="B25" s="763" t="s">
        <v>488</v>
      </c>
      <c r="C25" s="764"/>
      <c r="D25" s="111"/>
      <c r="E25" s="112">
        <v>1</v>
      </c>
      <c r="F25" s="112" t="s">
        <v>286</v>
      </c>
      <c r="G25" s="122"/>
      <c r="H25" s="112">
        <v>7</v>
      </c>
      <c r="I25" s="123">
        <v>1</v>
      </c>
      <c r="J25" s="201">
        <v>2600000</v>
      </c>
      <c r="K25" s="395">
        <f t="shared" si="15"/>
        <v>2600000</v>
      </c>
      <c r="L25" s="397">
        <f t="shared" si="16"/>
        <v>2600000</v>
      </c>
      <c r="M25" s="123">
        <v>0.2</v>
      </c>
      <c r="N25" s="405">
        <f t="shared" si="17"/>
        <v>520000</v>
      </c>
      <c r="O25" s="405">
        <f t="shared" si="18"/>
        <v>0</v>
      </c>
      <c r="P25" s="406">
        <f t="shared" si="19"/>
        <v>520000</v>
      </c>
      <c r="Q25" s="405">
        <f t="shared" si="20"/>
        <v>74286</v>
      </c>
      <c r="R25" s="405">
        <f t="shared" si="21"/>
        <v>825</v>
      </c>
      <c r="S25" s="405">
        <f t="shared" si="22"/>
        <v>231.11111111111111</v>
      </c>
      <c r="T25" s="326"/>
      <c r="U25" s="99"/>
      <c r="V25" s="1"/>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row>
    <row r="26" spans="1:84" ht="14.1" customHeight="1">
      <c r="A26" s="755"/>
      <c r="B26" s="763" t="s">
        <v>489</v>
      </c>
      <c r="C26" s="764"/>
      <c r="D26" s="111" t="s">
        <v>482</v>
      </c>
      <c r="E26" s="112">
        <v>1</v>
      </c>
      <c r="F26" s="112" t="s">
        <v>286</v>
      </c>
      <c r="G26" s="122"/>
      <c r="H26" s="112">
        <v>7</v>
      </c>
      <c r="I26" s="123">
        <v>1</v>
      </c>
      <c r="J26" s="201">
        <v>1200000</v>
      </c>
      <c r="K26" s="395">
        <f t="shared" si="15"/>
        <v>1200000</v>
      </c>
      <c r="L26" s="397">
        <f t="shared" si="16"/>
        <v>1200000</v>
      </c>
      <c r="M26" s="123">
        <v>0.2</v>
      </c>
      <c r="N26" s="405">
        <f t="shared" si="17"/>
        <v>240000</v>
      </c>
      <c r="O26" s="405">
        <f t="shared" si="18"/>
        <v>0</v>
      </c>
      <c r="P26" s="406">
        <f t="shared" si="19"/>
        <v>240000</v>
      </c>
      <c r="Q26" s="405">
        <f t="shared" si="20"/>
        <v>34286</v>
      </c>
      <c r="R26" s="405">
        <f t="shared" si="21"/>
        <v>380</v>
      </c>
      <c r="S26" s="405">
        <f t="shared" si="22"/>
        <v>106.66666666666666</v>
      </c>
      <c r="T26" s="326"/>
      <c r="U26" s="99"/>
      <c r="V26" s="1"/>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row>
    <row r="27" spans="1:84" ht="14.1" customHeight="1">
      <c r="A27" s="755"/>
      <c r="B27" s="763" t="s">
        <v>490</v>
      </c>
      <c r="C27" s="764"/>
      <c r="D27" s="111"/>
      <c r="E27" s="112">
        <v>1</v>
      </c>
      <c r="F27" s="112"/>
      <c r="G27" s="122"/>
      <c r="H27" s="112">
        <v>7</v>
      </c>
      <c r="I27" s="123">
        <v>1</v>
      </c>
      <c r="J27" s="201">
        <v>658000</v>
      </c>
      <c r="K27" s="395">
        <f t="shared" si="15"/>
        <v>658000</v>
      </c>
      <c r="L27" s="397">
        <f t="shared" si="16"/>
        <v>658000</v>
      </c>
      <c r="M27" s="123">
        <v>0.2</v>
      </c>
      <c r="N27" s="405">
        <f t="shared" si="17"/>
        <v>131600</v>
      </c>
      <c r="O27" s="405">
        <f t="shared" si="18"/>
        <v>0</v>
      </c>
      <c r="P27" s="406">
        <f t="shared" si="19"/>
        <v>131600</v>
      </c>
      <c r="Q27" s="405">
        <f t="shared" si="20"/>
        <v>18800</v>
      </c>
      <c r="R27" s="405">
        <f t="shared" si="21"/>
        <v>208</v>
      </c>
      <c r="S27" s="405">
        <f t="shared" si="22"/>
        <v>58.488888888888894</v>
      </c>
      <c r="T27" s="326"/>
      <c r="U27" s="99"/>
      <c r="V27" s="1"/>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row>
    <row r="28" spans="1:84" ht="14.1" customHeight="1">
      <c r="A28" s="755"/>
      <c r="B28" s="763" t="s">
        <v>491</v>
      </c>
      <c r="C28" s="764"/>
      <c r="D28" s="111"/>
      <c r="E28" s="112">
        <v>1</v>
      </c>
      <c r="F28" s="112"/>
      <c r="G28" s="122"/>
      <c r="H28" s="112">
        <v>7</v>
      </c>
      <c r="I28" s="123">
        <v>1</v>
      </c>
      <c r="J28" s="201">
        <v>368000</v>
      </c>
      <c r="K28" s="395">
        <f t="shared" si="15"/>
        <v>368000</v>
      </c>
      <c r="L28" s="397">
        <f t="shared" si="16"/>
        <v>368000</v>
      </c>
      <c r="M28" s="123">
        <v>0.2</v>
      </c>
      <c r="N28" s="405">
        <f t="shared" si="17"/>
        <v>73600</v>
      </c>
      <c r="O28" s="405">
        <f t="shared" si="18"/>
        <v>0</v>
      </c>
      <c r="P28" s="406">
        <f t="shared" si="19"/>
        <v>73600</v>
      </c>
      <c r="Q28" s="405">
        <f t="shared" si="20"/>
        <v>10514</v>
      </c>
      <c r="R28" s="405">
        <f t="shared" si="21"/>
        <v>116</v>
      </c>
      <c r="S28" s="405">
        <f t="shared" si="22"/>
        <v>32.711111111111116</v>
      </c>
      <c r="T28" s="326"/>
      <c r="U28" s="99"/>
      <c r="V28" s="1"/>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row>
    <row r="29" spans="1:84" ht="14.1" customHeight="1">
      <c r="A29" s="754"/>
      <c r="B29" s="763" t="s">
        <v>491</v>
      </c>
      <c r="C29" s="764"/>
      <c r="D29" s="111"/>
      <c r="E29" s="112">
        <v>1</v>
      </c>
      <c r="F29" s="112"/>
      <c r="G29" s="122"/>
      <c r="H29" s="112">
        <v>7</v>
      </c>
      <c r="I29" s="123">
        <v>1</v>
      </c>
      <c r="J29" s="117">
        <v>583000</v>
      </c>
      <c r="K29" s="395">
        <f t="shared" si="15"/>
        <v>583000</v>
      </c>
      <c r="L29" s="397">
        <f t="shared" si="16"/>
        <v>583000</v>
      </c>
      <c r="M29" s="123">
        <v>0.2</v>
      </c>
      <c r="N29" s="405">
        <f t="shared" si="17"/>
        <v>116600</v>
      </c>
      <c r="O29" s="405">
        <f t="shared" si="18"/>
        <v>0</v>
      </c>
      <c r="P29" s="406">
        <f t="shared" si="19"/>
        <v>116600</v>
      </c>
      <c r="Q29" s="405">
        <f t="shared" si="20"/>
        <v>16657</v>
      </c>
      <c r="R29" s="405">
        <f t="shared" si="21"/>
        <v>185</v>
      </c>
      <c r="S29" s="405">
        <f t="shared" si="22"/>
        <v>51.822222222222223</v>
      </c>
      <c r="T29" s="326"/>
      <c r="U29" s="99"/>
      <c r="V29" s="1"/>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row>
    <row r="30" spans="1:84" ht="14.1" customHeight="1">
      <c r="A30" s="754"/>
      <c r="B30" s="763" t="s">
        <v>492</v>
      </c>
      <c r="C30" s="764"/>
      <c r="D30" s="111"/>
      <c r="E30" s="112">
        <v>1</v>
      </c>
      <c r="F30" s="112" t="s">
        <v>286</v>
      </c>
      <c r="G30" s="122"/>
      <c r="H30" s="112">
        <v>4</v>
      </c>
      <c r="I30" s="123">
        <v>1</v>
      </c>
      <c r="J30" s="117">
        <v>1200000</v>
      </c>
      <c r="K30" s="395">
        <f t="shared" si="15"/>
        <v>1200000</v>
      </c>
      <c r="L30" s="397">
        <f t="shared" si="16"/>
        <v>1200000</v>
      </c>
      <c r="M30" s="123">
        <v>0.2</v>
      </c>
      <c r="N30" s="405">
        <f t="shared" si="17"/>
        <v>240000</v>
      </c>
      <c r="O30" s="405">
        <f t="shared" si="18"/>
        <v>0</v>
      </c>
      <c r="P30" s="406">
        <f t="shared" si="19"/>
        <v>240000</v>
      </c>
      <c r="Q30" s="405">
        <f t="shared" si="20"/>
        <v>60000</v>
      </c>
      <c r="R30" s="405">
        <f t="shared" si="21"/>
        <v>666</v>
      </c>
      <c r="S30" s="405">
        <f t="shared" si="22"/>
        <v>106.66666666666666</v>
      </c>
      <c r="T30" s="326"/>
      <c r="U30" s="99"/>
      <c r="V30" s="1"/>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row>
    <row r="31" spans="1:84" ht="14.1" customHeight="1">
      <c r="A31" s="754"/>
      <c r="B31" s="763" t="s">
        <v>494</v>
      </c>
      <c r="C31" s="764"/>
      <c r="D31" s="111"/>
      <c r="E31" s="112">
        <v>1</v>
      </c>
      <c r="F31" s="112"/>
      <c r="G31" s="122"/>
      <c r="H31" s="112">
        <v>7</v>
      </c>
      <c r="I31" s="123">
        <v>1</v>
      </c>
      <c r="J31" s="117">
        <v>313950</v>
      </c>
      <c r="K31" s="395">
        <f t="shared" si="15"/>
        <v>313950</v>
      </c>
      <c r="L31" s="397">
        <f t="shared" si="16"/>
        <v>313950</v>
      </c>
      <c r="M31" s="123">
        <v>1</v>
      </c>
      <c r="N31" s="405">
        <f t="shared" ref="N31:N33" si="23">IF(I31="",INT(K31*M31),INT(K31*I31*M31))</f>
        <v>313950</v>
      </c>
      <c r="O31" s="405">
        <f t="shared" ref="O31:O33" si="24">N31*(G31)</f>
        <v>0</v>
      </c>
      <c r="P31" s="406">
        <f t="shared" ref="P31:P33" si="25">N31-O31</f>
        <v>313950</v>
      </c>
      <c r="Q31" s="405">
        <f t="shared" ref="Q31:Q33" si="26">IF(H31="",0,ROUND(P31/H31,0))</f>
        <v>44850</v>
      </c>
      <c r="R31" s="405">
        <f t="shared" ref="R31:R33" si="27">IF(Q31=0,0,INT(Q31/$E$1*10))</f>
        <v>498</v>
      </c>
      <c r="S31" s="405">
        <f t="shared" si="13"/>
        <v>139.53333333333333</v>
      </c>
      <c r="T31" s="326"/>
      <c r="U31" s="99"/>
      <c r="V31" s="1"/>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row>
    <row r="32" spans="1:84" ht="14.1" customHeight="1">
      <c r="A32" s="754"/>
      <c r="B32" s="763" t="s">
        <v>495</v>
      </c>
      <c r="C32" s="764"/>
      <c r="D32" s="111"/>
      <c r="E32" s="112">
        <v>1</v>
      </c>
      <c r="F32" s="112"/>
      <c r="G32" s="122"/>
      <c r="H32" s="112">
        <v>7</v>
      </c>
      <c r="I32" s="123">
        <v>1</v>
      </c>
      <c r="J32" s="117">
        <v>908250</v>
      </c>
      <c r="K32" s="400">
        <f t="shared" ref="K32:K36" si="28">J32*E32</f>
        <v>908250</v>
      </c>
      <c r="L32" s="401">
        <f t="shared" ref="L32:L33" si="29">IF(I32="",K32,I32*K32)</f>
        <v>908250</v>
      </c>
      <c r="M32" s="123">
        <v>1</v>
      </c>
      <c r="N32" s="405">
        <f t="shared" si="23"/>
        <v>908250</v>
      </c>
      <c r="O32" s="405">
        <f t="shared" si="24"/>
        <v>0</v>
      </c>
      <c r="P32" s="406">
        <f t="shared" si="25"/>
        <v>908250</v>
      </c>
      <c r="Q32" s="405">
        <f t="shared" si="26"/>
        <v>129750</v>
      </c>
      <c r="R32" s="405">
        <f t="shared" si="27"/>
        <v>1441</v>
      </c>
      <c r="S32" s="405">
        <f t="shared" si="13"/>
        <v>403.66666666666669</v>
      </c>
      <c r="T32" s="326"/>
      <c r="U32" s="99"/>
      <c r="V32" s="1"/>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row>
    <row r="33" spans="1:84" ht="14.1" customHeight="1">
      <c r="A33" s="754"/>
      <c r="B33" s="763"/>
      <c r="C33" s="764"/>
      <c r="D33" s="111"/>
      <c r="E33" s="112"/>
      <c r="F33" s="112"/>
      <c r="G33" s="122"/>
      <c r="H33" s="112"/>
      <c r="I33" s="123"/>
      <c r="J33" s="117"/>
      <c r="K33" s="400">
        <f t="shared" si="28"/>
        <v>0</v>
      </c>
      <c r="L33" s="401">
        <f t="shared" si="29"/>
        <v>0</v>
      </c>
      <c r="M33" s="123"/>
      <c r="N33" s="405">
        <f t="shared" si="23"/>
        <v>0</v>
      </c>
      <c r="O33" s="405">
        <f t="shared" si="24"/>
        <v>0</v>
      </c>
      <c r="P33" s="406">
        <f t="shared" si="25"/>
        <v>0</v>
      </c>
      <c r="Q33" s="405">
        <f t="shared" si="26"/>
        <v>0</v>
      </c>
      <c r="R33" s="405">
        <f t="shared" si="27"/>
        <v>0</v>
      </c>
      <c r="S33" s="405">
        <f t="shared" si="13"/>
        <v>0</v>
      </c>
      <c r="T33" s="326"/>
      <c r="U33" s="99"/>
      <c r="V33" s="1"/>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row>
    <row r="34" spans="1:84" ht="14.1" customHeight="1">
      <c r="A34" s="756"/>
      <c r="B34" s="765" t="s">
        <v>38</v>
      </c>
      <c r="C34" s="766"/>
      <c r="D34" s="427"/>
      <c r="E34" s="428"/>
      <c r="F34" s="428"/>
      <c r="G34" s="435"/>
      <c r="H34" s="432">
        <f>IF(P34&gt;0,P34/Q34,"")</f>
        <v>6.7785661740283576</v>
      </c>
      <c r="I34" s="433"/>
      <c r="J34" s="431"/>
      <c r="K34" s="403">
        <f>SUM(K20:K33)</f>
        <v>18233650</v>
      </c>
      <c r="L34" s="402">
        <f>SUM(L20:L33)</f>
        <v>18233650</v>
      </c>
      <c r="M34" s="427"/>
      <c r="N34" s="402">
        <f t="shared" ref="N34:S34" si="30">SUM(N20:N33)</f>
        <v>5510310</v>
      </c>
      <c r="O34" s="402">
        <f t="shared" si="30"/>
        <v>0</v>
      </c>
      <c r="P34" s="402">
        <f t="shared" si="30"/>
        <v>5510310</v>
      </c>
      <c r="Q34" s="402">
        <f t="shared" si="30"/>
        <v>812902</v>
      </c>
      <c r="R34" s="402">
        <f t="shared" si="30"/>
        <v>9026</v>
      </c>
      <c r="S34" s="402">
        <f t="shared" si="30"/>
        <v>2449.0266666666671</v>
      </c>
      <c r="T34" s="119"/>
      <c r="U34" s="99"/>
      <c r="V34" s="1"/>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row>
    <row r="35" spans="1:84" ht="14.1" customHeight="1">
      <c r="A35" s="757" t="s">
        <v>37</v>
      </c>
      <c r="B35" s="758"/>
      <c r="C35" s="758"/>
      <c r="D35" s="111"/>
      <c r="E35" s="112"/>
      <c r="F35" s="112"/>
      <c r="G35" s="122"/>
      <c r="H35" s="112"/>
      <c r="I35" s="123"/>
      <c r="J35" s="117"/>
      <c r="K35" s="395">
        <f t="shared" si="28"/>
        <v>0</v>
      </c>
      <c r="L35" s="397">
        <f>K35</f>
        <v>0</v>
      </c>
      <c r="M35" s="123"/>
      <c r="N35" s="562">
        <f t="shared" ref="N35:N36" si="31">IF(I35="",INT(K35*M35),INT(K35*I35*M35))</f>
        <v>0</v>
      </c>
      <c r="O35" s="405">
        <f>N35*(G35)</f>
        <v>0</v>
      </c>
      <c r="P35" s="406">
        <f>N35-O35</f>
        <v>0</v>
      </c>
      <c r="Q35" s="405">
        <f>IF(H35="",0,ROUND(P35/H35,0))</f>
        <v>0</v>
      </c>
      <c r="R35" s="405">
        <f>IF(Q35=0,0,INT(Q35/$E$1*10))</f>
        <v>0</v>
      </c>
      <c r="S35" s="405"/>
      <c r="T35" s="326"/>
      <c r="U35" s="99"/>
      <c r="V35" s="1"/>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row>
    <row r="36" spans="1:84" ht="14.1" customHeight="1">
      <c r="A36" s="757"/>
      <c r="B36" s="759"/>
      <c r="C36" s="759"/>
      <c r="D36" s="111"/>
      <c r="E36" s="112"/>
      <c r="F36" s="112"/>
      <c r="G36" s="122"/>
      <c r="H36" s="112"/>
      <c r="I36" s="123"/>
      <c r="J36" s="117"/>
      <c r="K36" s="395">
        <f t="shared" si="28"/>
        <v>0</v>
      </c>
      <c r="L36" s="397">
        <f>K36</f>
        <v>0</v>
      </c>
      <c r="M36" s="123"/>
      <c r="N36" s="562">
        <f t="shared" si="31"/>
        <v>0</v>
      </c>
      <c r="O36" s="405">
        <f>N36*(G36)</f>
        <v>0</v>
      </c>
      <c r="P36" s="406">
        <f>N36-O36</f>
        <v>0</v>
      </c>
      <c r="Q36" s="405">
        <f>IF(H36="",0,ROUND(P36/H36,0))</f>
        <v>0</v>
      </c>
      <c r="R36" s="405">
        <f>IF(Q36=0,0,INT(Q36/$E$1*10))</f>
        <v>0</v>
      </c>
      <c r="S36" s="405"/>
      <c r="T36" s="326"/>
      <c r="U36" s="99"/>
      <c r="V36" s="1"/>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row>
    <row r="37" spans="1:84" ht="14.1" customHeight="1">
      <c r="A37" s="757"/>
      <c r="B37" s="765" t="s">
        <v>580</v>
      </c>
      <c r="C37" s="766"/>
      <c r="D37" s="427"/>
      <c r="E37" s="428"/>
      <c r="F37" s="428"/>
      <c r="G37" s="427"/>
      <c r="H37" s="436" t="str">
        <f>IF(P37&gt;0,P37/Q37,"")</f>
        <v/>
      </c>
      <c r="I37" s="433"/>
      <c r="J37" s="431"/>
      <c r="K37" s="398"/>
      <c r="L37" s="402">
        <f>L36+L35</f>
        <v>0</v>
      </c>
      <c r="M37" s="427"/>
      <c r="N37" s="402">
        <f>N36+N35</f>
        <v>0</v>
      </c>
      <c r="O37" s="402">
        <f>O36+O35</f>
        <v>0</v>
      </c>
      <c r="P37" s="402">
        <f>P36+P35</f>
        <v>0</v>
      </c>
      <c r="Q37" s="402">
        <f>Q36+Q35</f>
        <v>0</v>
      </c>
      <c r="R37" s="402">
        <f>R36+R35</f>
        <v>0</v>
      </c>
      <c r="S37" s="402"/>
      <c r="T37" s="119"/>
      <c r="U37" s="99"/>
      <c r="V37" s="1"/>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row>
    <row r="38" spans="1:84" ht="14.1" customHeight="1">
      <c r="A38" s="124"/>
      <c r="B38" s="437"/>
      <c r="C38" s="427" t="s">
        <v>39</v>
      </c>
      <c r="D38" s="427"/>
      <c r="E38" s="427"/>
      <c r="F38" s="427"/>
      <c r="G38" s="427"/>
      <c r="H38" s="427"/>
      <c r="I38" s="427"/>
      <c r="J38" s="431"/>
      <c r="K38" s="398">
        <f>K37+K34+K19+K8</f>
        <v>21953650</v>
      </c>
      <c r="L38" s="404">
        <f>L37+L34+L19+L8</f>
        <v>21953650</v>
      </c>
      <c r="M38" s="438"/>
      <c r="N38" s="408">
        <f t="shared" ref="N38:S38" si="32">N37+N34+N19+N8</f>
        <v>6998310</v>
      </c>
      <c r="O38" s="408">
        <f t="shared" si="32"/>
        <v>0</v>
      </c>
      <c r="P38" s="408">
        <f t="shared" si="32"/>
        <v>6998310</v>
      </c>
      <c r="Q38" s="408">
        <f t="shared" si="32"/>
        <v>874902</v>
      </c>
      <c r="R38" s="408">
        <f t="shared" si="32"/>
        <v>9714</v>
      </c>
      <c r="S38" s="408">
        <f t="shared" si="32"/>
        <v>2614.3600000000006</v>
      </c>
      <c r="T38" s="125"/>
      <c r="U38" s="99"/>
      <c r="V38" s="1"/>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row>
    <row r="39" spans="1:84" ht="12" customHeight="1">
      <c r="C39" s="92"/>
      <c r="D39" s="92"/>
      <c r="E39" s="92"/>
      <c r="F39" s="92"/>
      <c r="J39" s="92"/>
      <c r="K39" s="92"/>
      <c r="L39" s="126">
        <f>L38-L37</f>
        <v>21953650</v>
      </c>
      <c r="M39" s="92"/>
      <c r="N39" s="127"/>
      <c r="O39" s="92"/>
      <c r="P39" s="126">
        <f>P34+P19+P8</f>
        <v>6998310</v>
      </c>
      <c r="Q39" s="126">
        <f>Q34+Q19+Q8</f>
        <v>874902</v>
      </c>
      <c r="R39" s="127"/>
      <c r="S39" s="127"/>
      <c r="T39" s="92"/>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row>
    <row r="40" spans="1:84" ht="6" customHeight="1">
      <c r="C40" s="92"/>
      <c r="D40" s="92"/>
      <c r="E40" s="92"/>
      <c r="F40" s="92"/>
      <c r="J40" s="92"/>
      <c r="K40" s="92"/>
      <c r="L40" s="92"/>
      <c r="M40" s="92"/>
      <c r="N40" s="92"/>
      <c r="O40" s="92"/>
      <c r="P40" s="92"/>
      <c r="Q40" s="92"/>
      <c r="R40" s="92"/>
      <c r="S40" s="92"/>
      <c r="T40" s="92"/>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row>
    <row r="41" spans="1:84" ht="13.5" customHeight="1">
      <c r="B41" s="413" t="s">
        <v>40</v>
      </c>
      <c r="C41" s="128"/>
      <c r="D41" s="129" t="s">
        <v>41</v>
      </c>
      <c r="E41" s="92"/>
      <c r="F41" s="130"/>
      <c r="G41" s="131"/>
      <c r="H41" s="47"/>
      <c r="I41" s="132" t="s">
        <v>42</v>
      </c>
      <c r="J41" s="133"/>
      <c r="K41" s="133"/>
      <c r="L41" s="134" t="s">
        <v>43</v>
      </c>
      <c r="M41" s="750" t="s">
        <v>44</v>
      </c>
      <c r="N41" s="750"/>
      <c r="O41" s="206" t="s">
        <v>45</v>
      </c>
      <c r="P41" s="92"/>
      <c r="Q41" s="135" t="s">
        <v>46</v>
      </c>
      <c r="R41" s="136"/>
      <c r="S41" s="92"/>
      <c r="T41" s="92"/>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row>
    <row r="42" spans="1:84" ht="13.5" customHeight="1">
      <c r="A42" s="47"/>
      <c r="B42" s="137" t="s">
        <v>47</v>
      </c>
      <c r="C42" s="138" t="s">
        <v>48</v>
      </c>
      <c r="D42" s="139">
        <v>0.01</v>
      </c>
      <c r="E42" s="47"/>
      <c r="F42" s="140"/>
      <c r="G42" s="131"/>
      <c r="H42" s="47"/>
      <c r="I42" s="141"/>
      <c r="J42" s="140" t="s">
        <v>49</v>
      </c>
      <c r="K42" s="142"/>
      <c r="L42" s="143">
        <f>(N38-O38)/2+O38</f>
        <v>3499155</v>
      </c>
      <c r="M42" s="207"/>
      <c r="N42" s="208">
        <f>((N34+N8-O34-O8)/2+O34+O8)</f>
        <v>3499155</v>
      </c>
      <c r="O42" s="208">
        <f>(N19-O19)/2+O19</f>
        <v>0</v>
      </c>
      <c r="P42" s="47"/>
      <c r="Q42" s="144" t="s">
        <v>50</v>
      </c>
      <c r="R42" s="145">
        <f>IF(P8=0,0,P8/Q8)</f>
        <v>24</v>
      </c>
      <c r="S42" s="47"/>
      <c r="T42" s="47"/>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row>
    <row r="43" spans="1:84" ht="13.5" customHeight="1">
      <c r="A43" s="47"/>
      <c r="B43" s="146" t="s">
        <v>51</v>
      </c>
      <c r="C43" s="147" t="s">
        <v>52</v>
      </c>
      <c r="D43" s="148">
        <v>0.04</v>
      </c>
      <c r="E43" s="47"/>
      <c r="F43" s="140"/>
      <c r="G43" s="131"/>
      <c r="H43" s="47"/>
      <c r="I43" s="141"/>
      <c r="J43" s="767" t="s">
        <v>53</v>
      </c>
      <c r="K43" s="768"/>
      <c r="L43" s="149">
        <v>0.5</v>
      </c>
      <c r="M43" s="209"/>
      <c r="N43" s="210">
        <f>L43</f>
        <v>0.5</v>
      </c>
      <c r="O43" s="210">
        <f>N43</f>
        <v>0.5</v>
      </c>
      <c r="P43" s="47"/>
      <c r="Q43" s="150" t="s">
        <v>45</v>
      </c>
      <c r="R43" s="151">
        <f>IF(P19=0,0,P19/Q19)</f>
        <v>0</v>
      </c>
      <c r="S43" s="47"/>
      <c r="T43" s="47"/>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row>
    <row r="44" spans="1:84" ht="13.5" customHeight="1">
      <c r="A44" s="47"/>
      <c r="B44" s="47"/>
      <c r="C44" s="47"/>
      <c r="D44" s="47"/>
      <c r="E44" s="47"/>
      <c r="F44" s="140"/>
      <c r="G44" s="131"/>
      <c r="H44" s="47"/>
      <c r="I44" s="141"/>
      <c r="J44" s="140" t="s">
        <v>54</v>
      </c>
      <c r="K44" s="140"/>
      <c r="L44" s="143">
        <f>L43*L42</f>
        <v>1749577.5</v>
      </c>
      <c r="M44" s="209"/>
      <c r="N44" s="211">
        <f>N43*N42</f>
        <v>1749577.5</v>
      </c>
      <c r="O44" s="211">
        <f>O43*O42</f>
        <v>0</v>
      </c>
      <c r="P44" s="47"/>
      <c r="Q44" s="150" t="s">
        <v>55</v>
      </c>
      <c r="R44" s="151">
        <f>IF(P34=0,0,P34/Q34)</f>
        <v>6.7785661740283576</v>
      </c>
      <c r="S44" s="47"/>
      <c r="T44" s="47"/>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row>
    <row r="45" spans="1:84" ht="13.5" customHeight="1">
      <c r="A45" s="47"/>
      <c r="B45" s="47"/>
      <c r="C45" s="47"/>
      <c r="D45" s="47"/>
      <c r="E45" s="47"/>
      <c r="F45" s="140"/>
      <c r="G45" s="131"/>
      <c r="H45" s="47"/>
      <c r="I45" s="141"/>
      <c r="J45" s="140" t="s">
        <v>56</v>
      </c>
      <c r="K45" s="140"/>
      <c r="L45" s="143">
        <f>IF($E$1=0,0,L44/$E$1*10)</f>
        <v>19439.75</v>
      </c>
      <c r="M45" s="209"/>
      <c r="N45" s="212">
        <f>IF($E$1=0,0,N44/$E$1*10)</f>
        <v>19439.75</v>
      </c>
      <c r="O45" s="212">
        <f>IF($E$1=0,0,O44/$E$1*10)</f>
        <v>0</v>
      </c>
      <c r="P45" s="47"/>
      <c r="Q45" s="152" t="s">
        <v>43</v>
      </c>
      <c r="R45" s="153">
        <f>IF(P37=0,0,(P38-P37)/(Q38-Q37))</f>
        <v>0</v>
      </c>
      <c r="S45" s="47"/>
      <c r="T45" s="47"/>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row>
    <row r="46" spans="1:84" ht="13.5" customHeight="1">
      <c r="A46" s="47"/>
      <c r="B46" s="47"/>
      <c r="C46" s="47"/>
      <c r="D46" s="47"/>
      <c r="E46" s="47"/>
      <c r="F46" s="140"/>
      <c r="G46" s="131"/>
      <c r="H46" s="47"/>
      <c r="I46" s="141"/>
      <c r="J46" s="140" t="s">
        <v>57</v>
      </c>
      <c r="K46" s="140"/>
      <c r="L46" s="154">
        <v>0.02</v>
      </c>
      <c r="M46" s="209"/>
      <c r="N46" s="210">
        <f>L46</f>
        <v>0.02</v>
      </c>
      <c r="O46" s="210">
        <f>N46</f>
        <v>0.02</v>
      </c>
      <c r="P46" s="47"/>
      <c r="Q46" s="47"/>
      <c r="R46" s="47"/>
      <c r="S46" s="47"/>
      <c r="T46" s="47"/>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row>
    <row r="47" spans="1:84" ht="13.5" customHeight="1">
      <c r="A47" s="47"/>
      <c r="B47" s="47"/>
      <c r="C47" s="47"/>
      <c r="D47" s="47"/>
      <c r="E47" s="47"/>
      <c r="F47" s="140"/>
      <c r="G47" s="131"/>
      <c r="H47" s="47"/>
      <c r="I47" s="155"/>
      <c r="J47" s="156" t="s">
        <v>58</v>
      </c>
      <c r="K47" s="156"/>
      <c r="L47" s="157">
        <f>INT(L46*L45)</f>
        <v>388</v>
      </c>
      <c r="M47" s="213"/>
      <c r="N47" s="214">
        <f>INT(N46*N45)</f>
        <v>388</v>
      </c>
      <c r="O47" s="214">
        <f>INT(O46*O45)</f>
        <v>0</v>
      </c>
      <c r="P47" s="47"/>
      <c r="Q47" s="47"/>
      <c r="R47" s="47"/>
      <c r="S47" s="47"/>
      <c r="T47" s="47"/>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row>
    <row r="48" spans="1:84" ht="13.5" customHeight="1">
      <c r="A48" s="99"/>
      <c r="B48" s="99"/>
      <c r="C48" s="99"/>
      <c r="D48" s="99"/>
      <c r="E48" s="99"/>
      <c r="F48" s="99"/>
      <c r="J48" s="99"/>
      <c r="K48" s="99"/>
      <c r="L48" s="99"/>
      <c r="M48" s="22"/>
      <c r="N48" s="22"/>
      <c r="O48" s="22"/>
      <c r="P48" s="22"/>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row>
    <row r="49" spans="1:41" ht="13.5" customHeight="1">
      <c r="A49" s="99"/>
      <c r="B49" s="99"/>
      <c r="C49" s="99"/>
      <c r="D49" s="99"/>
      <c r="E49" s="99"/>
      <c r="F49" s="99"/>
      <c r="J49" s="99"/>
      <c r="K49" s="99"/>
      <c r="L49" s="99"/>
      <c r="M49" s="22"/>
      <c r="N49" s="22"/>
      <c r="O49" s="22"/>
      <c r="P49" s="22"/>
      <c r="Q49" s="99"/>
      <c r="R49" s="99"/>
      <c r="S49" s="99"/>
      <c r="T49" s="99"/>
      <c r="U49" s="99"/>
      <c r="V49" s="99"/>
      <c r="W49" s="99"/>
      <c r="X49" s="99"/>
      <c r="Y49" s="99"/>
      <c r="Z49" s="99"/>
      <c r="AA49" s="99"/>
      <c r="AB49" s="99"/>
      <c r="AC49" s="99"/>
    </row>
    <row r="50" spans="1:41" ht="13.5" customHeight="1">
      <c r="A50" s="99"/>
      <c r="B50" s="99"/>
      <c r="C50" s="99"/>
      <c r="D50" s="99"/>
      <c r="E50" s="99"/>
      <c r="F50" s="99"/>
      <c r="J50" s="99"/>
      <c r="K50" s="99"/>
      <c r="L50" s="99"/>
      <c r="M50" s="22"/>
      <c r="N50" s="22"/>
      <c r="O50" s="22"/>
      <c r="P50" s="22"/>
      <c r="Q50" s="99"/>
      <c r="R50" s="99"/>
      <c r="S50" s="99"/>
      <c r="T50" s="99"/>
      <c r="U50" s="99"/>
      <c r="V50" s="99"/>
      <c r="W50" s="99"/>
      <c r="X50" s="99"/>
      <c r="Y50" s="99"/>
      <c r="Z50" s="99"/>
      <c r="AA50" s="99"/>
      <c r="AB50" s="99"/>
      <c r="AC50" s="99"/>
    </row>
    <row r="51" spans="1:41" ht="13.5" customHeight="1">
      <c r="A51" s="99"/>
      <c r="B51" s="99"/>
      <c r="C51" s="99"/>
      <c r="D51" s="99"/>
      <c r="E51" s="99"/>
      <c r="F51" s="99"/>
      <c r="J51" s="99"/>
      <c r="K51" s="99"/>
      <c r="L51" s="99"/>
      <c r="M51" s="22"/>
      <c r="N51" s="22"/>
      <c r="O51" s="22"/>
      <c r="P51" s="22"/>
      <c r="Q51" s="99"/>
      <c r="R51" s="99"/>
      <c r="S51" s="99"/>
      <c r="T51" s="99"/>
      <c r="U51" s="99"/>
      <c r="V51" s="99"/>
      <c r="W51" s="99"/>
      <c r="X51" s="99"/>
      <c r="Y51" s="99"/>
      <c r="Z51" s="99"/>
      <c r="AA51" s="99"/>
      <c r="AB51" s="99"/>
      <c r="AC51" s="99"/>
    </row>
    <row r="52" spans="1:41" ht="13.5" customHeight="1">
      <c r="A52" s="99"/>
      <c r="B52" s="99"/>
      <c r="C52" s="99"/>
      <c r="D52" s="99"/>
      <c r="E52" s="99"/>
      <c r="F52" s="99"/>
      <c r="J52" s="99"/>
      <c r="K52" s="99"/>
      <c r="L52" s="99"/>
      <c r="M52" s="22"/>
      <c r="N52" s="22"/>
      <c r="O52" s="22"/>
      <c r="P52" s="22"/>
      <c r="Q52" s="99"/>
      <c r="R52" s="99"/>
      <c r="S52" s="99"/>
      <c r="T52" s="99"/>
      <c r="U52" s="99"/>
      <c r="V52" s="99"/>
      <c r="W52" s="99"/>
      <c r="X52" s="99"/>
      <c r="Y52" s="99"/>
      <c r="Z52" s="99"/>
      <c r="AA52" s="99"/>
      <c r="AB52" s="99"/>
      <c r="AC52" s="99"/>
    </row>
    <row r="53" spans="1:41" ht="13.5" customHeight="1">
      <c r="A53" s="99"/>
      <c r="B53" s="99"/>
      <c r="C53" s="99"/>
      <c r="D53" s="99"/>
      <c r="E53" s="99"/>
      <c r="F53" s="99"/>
      <c r="J53" s="99"/>
      <c r="K53" s="99"/>
      <c r="L53" s="99"/>
      <c r="M53" s="22"/>
      <c r="N53" s="22"/>
      <c r="O53" s="22"/>
      <c r="P53" s="22"/>
      <c r="Q53" s="99"/>
      <c r="R53" s="99"/>
      <c r="S53" s="99"/>
      <c r="T53" s="99"/>
      <c r="U53" s="99"/>
      <c r="V53" s="99"/>
      <c r="W53" s="99"/>
      <c r="X53" s="99"/>
      <c r="Y53" s="99"/>
      <c r="Z53" s="99"/>
      <c r="AA53" s="99"/>
      <c r="AB53" s="99"/>
      <c r="AC53" s="99"/>
    </row>
    <row r="54" spans="1:41" ht="13.5" customHeight="1">
      <c r="A54" s="99"/>
      <c r="B54" s="99"/>
      <c r="C54" s="99"/>
      <c r="D54" s="99"/>
      <c r="E54" s="99"/>
      <c r="F54" s="99"/>
      <c r="J54" s="99"/>
      <c r="K54" s="99"/>
      <c r="L54" s="99"/>
      <c r="M54" s="22"/>
      <c r="N54" s="22"/>
      <c r="O54" s="22"/>
      <c r="P54" s="22"/>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row>
    <row r="55" spans="1:41" ht="13.5" customHeight="1">
      <c r="A55" s="99"/>
      <c r="B55" s="99"/>
      <c r="C55" s="99"/>
      <c r="D55" s="99"/>
      <c r="E55" s="99"/>
      <c r="F55" s="99"/>
      <c r="J55" s="99"/>
      <c r="K55" s="99"/>
      <c r="L55" s="99"/>
      <c r="M55" s="22"/>
      <c r="N55" s="22"/>
      <c r="O55" s="22"/>
      <c r="P55" s="22"/>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row>
    <row r="56" spans="1:41" ht="13.5" customHeight="1">
      <c r="A56" s="99"/>
      <c r="B56" s="99"/>
      <c r="C56" s="99"/>
      <c r="D56" s="99"/>
      <c r="E56" s="99"/>
      <c r="F56" s="99"/>
      <c r="J56" s="99"/>
      <c r="K56" s="99"/>
      <c r="L56" s="99"/>
      <c r="M56" s="22"/>
      <c r="N56" s="22"/>
      <c r="O56" s="22"/>
      <c r="P56" s="22"/>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row>
    <row r="57" spans="1:41" ht="13.5" customHeight="1">
      <c r="A57" s="99"/>
      <c r="B57" s="99"/>
      <c r="C57" s="99"/>
      <c r="D57" s="99"/>
      <c r="E57" s="99"/>
      <c r="F57" s="99"/>
      <c r="J57" s="99"/>
      <c r="K57" s="99"/>
      <c r="L57" s="99"/>
      <c r="M57" s="22"/>
      <c r="N57" s="22"/>
      <c r="O57" s="22"/>
      <c r="P57" s="22"/>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row>
    <row r="58" spans="1:41" ht="13.5" customHeight="1">
      <c r="A58" s="99"/>
      <c r="B58" s="99"/>
      <c r="C58" s="99"/>
      <c r="D58" s="99"/>
      <c r="E58" s="99"/>
      <c r="F58" s="99"/>
      <c r="J58" s="99"/>
      <c r="K58" s="99"/>
      <c r="L58" s="99"/>
      <c r="M58" s="22"/>
      <c r="N58" s="22"/>
      <c r="O58" s="22"/>
      <c r="P58" s="22"/>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row>
    <row r="59" spans="1:41" ht="14.1" customHeight="1">
      <c r="A59" s="99"/>
      <c r="B59" s="99"/>
      <c r="C59" s="99"/>
      <c r="D59" s="99"/>
      <c r="E59" s="99"/>
      <c r="F59" s="99"/>
      <c r="J59" s="99"/>
      <c r="K59" s="99"/>
      <c r="L59" s="99"/>
      <c r="M59" s="22"/>
      <c r="N59" s="22"/>
      <c r="O59" s="22"/>
      <c r="P59" s="22"/>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row>
    <row r="60" spans="1:41" ht="14.1" customHeight="1">
      <c r="A60" s="99"/>
      <c r="B60" s="99"/>
      <c r="C60" s="99"/>
      <c r="D60" s="99"/>
      <c r="E60" s="99"/>
      <c r="F60" s="99"/>
      <c r="J60" s="99"/>
      <c r="K60" s="99"/>
      <c r="L60" s="99"/>
      <c r="M60" s="22"/>
      <c r="N60" s="22"/>
      <c r="O60" s="22"/>
      <c r="P60" s="22"/>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row>
    <row r="61" spans="1:41" ht="14.1" customHeight="1">
      <c r="A61" s="99"/>
      <c r="B61" s="99"/>
      <c r="C61" s="99"/>
      <c r="D61" s="99"/>
      <c r="E61" s="99"/>
      <c r="F61" s="99"/>
      <c r="J61" s="99"/>
      <c r="K61" s="99"/>
      <c r="L61" s="99"/>
      <c r="M61" s="22"/>
      <c r="N61" s="22"/>
      <c r="O61" s="22"/>
      <c r="P61" s="22"/>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row>
    <row r="62" spans="1:41" ht="14.1" customHeight="1">
      <c r="A62" s="99"/>
      <c r="B62" s="99"/>
      <c r="C62" s="99"/>
      <c r="D62" s="99"/>
      <c r="E62" s="99"/>
      <c r="F62" s="99"/>
      <c r="J62" s="99"/>
      <c r="K62" s="99"/>
      <c r="L62" s="99"/>
      <c r="M62" s="22"/>
      <c r="N62" s="22"/>
      <c r="O62" s="22"/>
      <c r="P62" s="22"/>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row>
    <row r="63" spans="1:41" ht="14.1" customHeight="1">
      <c r="A63" s="99"/>
      <c r="B63" s="99"/>
      <c r="C63" s="99"/>
      <c r="D63" s="99"/>
      <c r="E63" s="99"/>
      <c r="F63" s="99"/>
      <c r="J63" s="99"/>
      <c r="K63" s="99"/>
      <c r="L63" s="99"/>
      <c r="M63" s="22"/>
      <c r="N63" s="22"/>
      <c r="O63" s="22"/>
      <c r="P63" s="22"/>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row>
    <row r="64" spans="1:41" ht="14.1" customHeight="1">
      <c r="A64" s="99"/>
      <c r="B64" s="99"/>
      <c r="C64" s="99"/>
      <c r="D64" s="99"/>
      <c r="E64" s="99"/>
      <c r="F64" s="99"/>
      <c r="J64" s="99"/>
      <c r="K64" s="99"/>
      <c r="L64" s="99"/>
      <c r="M64" s="22"/>
      <c r="N64" s="22"/>
      <c r="O64" s="22"/>
      <c r="P64" s="22"/>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row>
    <row r="65" spans="1:41" ht="14.1" customHeight="1">
      <c r="A65" s="99"/>
      <c r="B65" s="99"/>
      <c r="C65" s="99"/>
      <c r="D65" s="99"/>
      <c r="E65" s="99"/>
      <c r="F65" s="99"/>
      <c r="J65" s="99"/>
      <c r="K65" s="99"/>
      <c r="L65" s="99"/>
      <c r="M65" s="22"/>
      <c r="N65" s="22"/>
      <c r="O65" s="22"/>
      <c r="P65" s="22"/>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row>
    <row r="66" spans="1:41" ht="14.1" customHeight="1">
      <c r="A66" s="99"/>
      <c r="B66" s="99"/>
      <c r="C66" s="99"/>
      <c r="D66" s="99"/>
      <c r="E66" s="99"/>
      <c r="F66" s="99"/>
      <c r="J66" s="99"/>
      <c r="K66" s="99"/>
      <c r="L66" s="99"/>
      <c r="M66" s="22"/>
      <c r="N66" s="22"/>
      <c r="O66" s="22"/>
      <c r="P66" s="22"/>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row>
    <row r="67" spans="1:41" ht="14.1" customHeight="1">
      <c r="A67" s="99"/>
      <c r="B67" s="99"/>
      <c r="C67" s="99"/>
      <c r="D67" s="99"/>
      <c r="E67" s="99"/>
      <c r="F67" s="99"/>
      <c r="J67" s="99"/>
      <c r="K67" s="99"/>
      <c r="L67" s="99"/>
      <c r="M67" s="22"/>
      <c r="N67" s="22"/>
      <c r="O67" s="22"/>
      <c r="P67" s="22"/>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row>
    <row r="68" spans="1:41" ht="14.1" customHeight="1">
      <c r="A68" s="99"/>
      <c r="B68" s="99"/>
      <c r="C68" s="99"/>
      <c r="D68" s="99"/>
      <c r="E68" s="99"/>
      <c r="F68" s="99"/>
      <c r="J68" s="99"/>
      <c r="K68" s="99"/>
      <c r="L68" s="99"/>
      <c r="M68" s="22"/>
      <c r="N68" s="22"/>
      <c r="O68" s="22"/>
      <c r="P68" s="22"/>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row>
    <row r="69" spans="1:41" ht="14.1" customHeight="1">
      <c r="A69" s="99"/>
      <c r="B69" s="99"/>
      <c r="C69" s="99"/>
      <c r="D69" s="99"/>
      <c r="E69" s="99"/>
      <c r="F69" s="99"/>
      <c r="J69" s="99"/>
      <c r="K69" s="99"/>
      <c r="L69" s="99"/>
      <c r="M69" s="22"/>
      <c r="N69" s="22"/>
      <c r="O69" s="22"/>
      <c r="P69" s="22"/>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row>
    <row r="70" spans="1:41" ht="14.1" customHeight="1">
      <c r="A70" s="99"/>
      <c r="B70" s="99"/>
      <c r="C70" s="99"/>
      <c r="D70" s="99"/>
      <c r="E70" s="99"/>
      <c r="F70" s="99"/>
      <c r="J70" s="99"/>
      <c r="K70" s="99"/>
      <c r="L70" s="99"/>
      <c r="M70" s="22"/>
      <c r="N70" s="22"/>
      <c r="O70" s="22"/>
      <c r="P70" s="22"/>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row>
    <row r="71" spans="1:41" ht="14.1" customHeight="1">
      <c r="A71" s="99"/>
      <c r="B71" s="99"/>
      <c r="C71" s="99"/>
      <c r="D71" s="99"/>
      <c r="E71" s="99"/>
      <c r="F71" s="99"/>
      <c r="J71" s="99"/>
      <c r="K71" s="99"/>
      <c r="L71" s="99"/>
      <c r="M71" s="22"/>
      <c r="N71" s="22"/>
      <c r="O71" s="22"/>
      <c r="P71" s="22"/>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row>
    <row r="72" spans="1:41" ht="14.1" customHeight="1">
      <c r="A72" s="99"/>
      <c r="B72" s="99"/>
      <c r="C72" s="99"/>
      <c r="D72" s="99"/>
      <c r="E72" s="99"/>
      <c r="F72" s="99"/>
      <c r="J72" s="99"/>
      <c r="K72" s="99"/>
      <c r="L72" s="99"/>
      <c r="M72" s="22"/>
      <c r="N72" s="22"/>
      <c r="O72" s="22"/>
      <c r="P72" s="22"/>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row>
    <row r="73" spans="1:41" ht="14.1" customHeight="1">
      <c r="A73" s="99"/>
      <c r="B73" s="99"/>
      <c r="C73" s="99"/>
      <c r="D73" s="99"/>
      <c r="E73" s="99"/>
      <c r="F73" s="99"/>
      <c r="J73" s="99"/>
      <c r="K73" s="99"/>
      <c r="L73" s="99"/>
      <c r="M73" s="22"/>
      <c r="N73" s="22"/>
      <c r="O73" s="22"/>
      <c r="P73" s="22"/>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row>
    <row r="74" spans="1:41" ht="14.1" customHeight="1">
      <c r="A74" s="99"/>
      <c r="B74" s="99"/>
      <c r="C74" s="99"/>
      <c r="D74" s="99"/>
      <c r="E74" s="99"/>
      <c r="F74" s="99"/>
      <c r="J74" s="99"/>
      <c r="K74" s="99"/>
      <c r="L74" s="99"/>
      <c r="M74" s="22"/>
      <c r="N74" s="22"/>
      <c r="O74" s="22"/>
      <c r="P74" s="22"/>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row>
    <row r="75" spans="1:41" ht="14.1" customHeight="1">
      <c r="A75" s="99"/>
      <c r="B75" s="99"/>
      <c r="C75" s="99"/>
      <c r="D75" s="99"/>
      <c r="E75" s="99"/>
      <c r="F75" s="99"/>
      <c r="J75" s="99"/>
      <c r="K75" s="99"/>
      <c r="L75" s="99"/>
      <c r="M75" s="22"/>
      <c r="N75" s="22"/>
      <c r="O75" s="22"/>
      <c r="P75" s="22"/>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row>
    <row r="76" spans="1:41" ht="14.1" customHeight="1">
      <c r="A76" s="99"/>
      <c r="B76" s="99"/>
      <c r="C76" s="99"/>
      <c r="D76" s="99"/>
      <c r="E76" s="99"/>
      <c r="F76" s="99"/>
      <c r="J76" s="99"/>
      <c r="K76" s="99"/>
      <c r="L76" s="99"/>
      <c r="M76" s="22"/>
      <c r="N76" s="22"/>
      <c r="O76" s="22"/>
      <c r="P76" s="22"/>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row>
    <row r="77" spans="1:41" ht="14.1" customHeight="1">
      <c r="A77" s="99"/>
      <c r="B77" s="99"/>
      <c r="C77" s="99"/>
      <c r="D77" s="99"/>
      <c r="E77" s="99"/>
      <c r="F77" s="99"/>
      <c r="J77" s="99"/>
      <c r="K77" s="99"/>
      <c r="L77" s="99"/>
      <c r="M77" s="22"/>
      <c r="N77" s="22"/>
      <c r="O77" s="22"/>
      <c r="P77" s="22"/>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row>
    <row r="78" spans="1:41" ht="14.1" customHeight="1">
      <c r="A78" s="99"/>
      <c r="B78" s="99"/>
      <c r="C78" s="99"/>
      <c r="D78" s="99"/>
      <c r="E78" s="99"/>
      <c r="F78" s="99"/>
      <c r="J78" s="99"/>
      <c r="K78" s="99"/>
      <c r="L78" s="99"/>
      <c r="M78" s="22"/>
      <c r="N78" s="22"/>
      <c r="O78" s="22"/>
      <c r="P78" s="22"/>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row>
    <row r="79" spans="1:41" ht="14.1" customHeight="1">
      <c r="P79" s="97"/>
    </row>
    <row r="80" spans="1:41" ht="14.1" customHeight="1">
      <c r="P80" s="97"/>
    </row>
    <row r="81" ht="14.1" customHeight="1"/>
    <row r="82" ht="14.1" customHeight="1"/>
    <row r="83" ht="14.1" customHeight="1"/>
    <row r="84" ht="12.75" hidden="1" customHeight="1"/>
    <row r="85" ht="12.75" hidden="1" customHeight="1"/>
    <row r="86" ht="12.75" hidden="1" customHeight="1"/>
    <row r="87" ht="12.75" hidden="1" customHeight="1"/>
    <row r="88" ht="12.75" hidden="1" customHeight="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row r="118"/>
    <row r="119"/>
    <row r="120"/>
    <row r="121"/>
    <row r="122"/>
    <row r="123"/>
    <row r="124"/>
    <row r="125"/>
    <row r="126"/>
    <row r="127"/>
    <row r="128"/>
    <row r="129"/>
  </sheetData>
  <sheetProtection sheet="1" objects="1" scenarios="1" selectLockedCells="1"/>
  <mergeCells count="46">
    <mergeCell ref="J43:K43"/>
    <mergeCell ref="B26:C26"/>
    <mergeCell ref="B25:C25"/>
    <mergeCell ref="B24:C24"/>
    <mergeCell ref="B23:C23"/>
    <mergeCell ref="B27:C27"/>
    <mergeCell ref="B22:C22"/>
    <mergeCell ref="B37:C37"/>
    <mergeCell ref="B34:C34"/>
    <mergeCell ref="B19:C19"/>
    <mergeCell ref="B8:C8"/>
    <mergeCell ref="B29:C29"/>
    <mergeCell ref="B30:C30"/>
    <mergeCell ref="B31:C31"/>
    <mergeCell ref="B32:C32"/>
    <mergeCell ref="B33:C33"/>
    <mergeCell ref="B16:C16"/>
    <mergeCell ref="B17:C17"/>
    <mergeCell ref="B18:C18"/>
    <mergeCell ref="B20:C20"/>
    <mergeCell ref="B21:C21"/>
    <mergeCell ref="B28:C28"/>
    <mergeCell ref="A20:A34"/>
    <mergeCell ref="A35:A37"/>
    <mergeCell ref="B35:C35"/>
    <mergeCell ref="B36:C36"/>
    <mergeCell ref="H2:H4"/>
    <mergeCell ref="A2:C2"/>
    <mergeCell ref="B5:C5"/>
    <mergeCell ref="B6:C6"/>
    <mergeCell ref="B7:C7"/>
    <mergeCell ref="B9:C9"/>
    <mergeCell ref="B10:C10"/>
    <mergeCell ref="B11:C11"/>
    <mergeCell ref="B12:C12"/>
    <mergeCell ref="B13:C13"/>
    <mergeCell ref="B14:C14"/>
    <mergeCell ref="B15:C15"/>
    <mergeCell ref="I2:I4"/>
    <mergeCell ref="M2:S2"/>
    <mergeCell ref="M3:M4"/>
    <mergeCell ref="M41:N41"/>
    <mergeCell ref="E1:F1"/>
    <mergeCell ref="E2:E4"/>
    <mergeCell ref="F2:F4"/>
    <mergeCell ref="G2:G4"/>
  </mergeCells>
  <phoneticPr fontId="14"/>
  <printOptions horizontalCentered="1"/>
  <pageMargins left="0.82677165354330717" right="0.82677165354330717" top="1.3385826771653544" bottom="0.74803149606299213" header="0.9055118110236221" footer="0.31496062992125984"/>
  <pageSetup paperSize="9" scale="62" firstPageNumber="0" orientation="landscape" cellComments="asDisplayed" horizontalDpi="4294967293" verticalDpi="300" r:id="rId1"/>
  <headerFooter alignWithMargins="0">
    <oddHeader>&amp;L二条大麦「サチホゴールデン」11月中旬播種（平坦地）</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pageSetUpPr fitToPage="1"/>
  </sheetPr>
  <dimension ref="A1:R353"/>
  <sheetViews>
    <sheetView showGridLines="0" workbookViewId="0">
      <pane ySplit="4" topLeftCell="A5" activePane="bottomLeft" state="frozen"/>
      <selection activeCell="I22" sqref="I22"/>
      <selection pane="bottomLeft" activeCell="A6" sqref="A6"/>
    </sheetView>
  </sheetViews>
  <sheetFormatPr defaultRowHeight="13.5"/>
  <cols>
    <col min="1" max="1" width="15.125" style="10" customWidth="1"/>
    <col min="2" max="2" width="9" style="10"/>
    <col min="3" max="3" width="14.625" style="10" customWidth="1"/>
    <col min="4" max="4" width="16.625" style="10" customWidth="1"/>
    <col min="5" max="5" width="4.875" style="10" bestFit="1" customWidth="1"/>
    <col min="6" max="10" width="9" style="327"/>
    <col min="11" max="11" width="18.375" style="10" customWidth="1"/>
    <col min="12" max="12" width="9.125" style="10" customWidth="1"/>
    <col min="13" max="13" width="9.125" style="328" customWidth="1"/>
    <col min="14" max="14" width="9.125" style="327" customWidth="1"/>
    <col min="15" max="15" width="18.625" style="329" customWidth="1"/>
    <col min="16" max="16" width="9" style="10"/>
    <col min="17" max="18" width="9" style="606"/>
    <col min="19" max="16384" width="9" style="10"/>
  </cols>
  <sheetData>
    <row r="1" spans="1:18" ht="14.25" thickBot="1">
      <c r="A1" s="24" t="str">
        <f>IF(①技術体系!A2=0,"",①技術体系!A2)</f>
        <v>ビール大麦</v>
      </c>
      <c r="D1" s="24" t="str">
        <f>IF(①技術体系!C2=0,"",①技術体系!C2)</f>
        <v>サチホゴールデン</v>
      </c>
    </row>
    <row r="2" spans="1:18" s="440" customFormat="1" ht="24" customHeight="1" thickBot="1">
      <c r="A2" s="785" t="s">
        <v>4</v>
      </c>
      <c r="B2" s="786" t="s">
        <v>59</v>
      </c>
      <c r="C2" s="787" t="s">
        <v>60</v>
      </c>
      <c r="D2" s="787" t="s">
        <v>61</v>
      </c>
      <c r="E2" s="788" t="s">
        <v>399</v>
      </c>
      <c r="F2" s="782" t="s">
        <v>297</v>
      </c>
      <c r="G2" s="783"/>
      <c r="H2" s="783"/>
      <c r="I2" s="783"/>
      <c r="J2" s="783"/>
      <c r="K2" s="784" t="s">
        <v>62</v>
      </c>
      <c r="L2" s="784"/>
      <c r="M2" s="784"/>
      <c r="N2" s="784"/>
      <c r="O2" s="769" t="s">
        <v>63</v>
      </c>
      <c r="Q2" s="607"/>
      <c r="R2" s="607"/>
    </row>
    <row r="3" spans="1:18" s="440" customFormat="1" ht="19.5" customHeight="1" thickBot="1">
      <c r="A3" s="785"/>
      <c r="B3" s="786"/>
      <c r="C3" s="787"/>
      <c r="D3" s="787"/>
      <c r="E3" s="789"/>
      <c r="F3" s="770" t="s">
        <v>298</v>
      </c>
      <c r="G3" s="771"/>
      <c r="H3" s="770" t="s">
        <v>299</v>
      </c>
      <c r="I3" s="772"/>
      <c r="J3" s="773" t="s">
        <v>66</v>
      </c>
      <c r="K3" s="775" t="s">
        <v>67</v>
      </c>
      <c r="L3" s="777" t="s">
        <v>557</v>
      </c>
      <c r="M3" s="779" t="s">
        <v>400</v>
      </c>
      <c r="N3" s="780" t="s">
        <v>401</v>
      </c>
      <c r="O3" s="769"/>
      <c r="Q3" s="607"/>
      <c r="R3" s="607"/>
    </row>
    <row r="4" spans="1:18" s="440" customFormat="1" ht="27.75" thickBot="1">
      <c r="A4" s="785"/>
      <c r="B4" s="786"/>
      <c r="C4" s="787"/>
      <c r="D4" s="787"/>
      <c r="E4" s="789"/>
      <c r="F4" s="330" t="s">
        <v>64</v>
      </c>
      <c r="G4" s="331" t="s">
        <v>295</v>
      </c>
      <c r="H4" s="332" t="s">
        <v>65</v>
      </c>
      <c r="I4" s="331" t="s">
        <v>296</v>
      </c>
      <c r="J4" s="774"/>
      <c r="K4" s="776"/>
      <c r="L4" s="778"/>
      <c r="M4" s="778"/>
      <c r="N4" s="781"/>
      <c r="O4" s="769"/>
      <c r="Q4" s="607" t="s">
        <v>555</v>
      </c>
      <c r="R4" s="607" t="s">
        <v>556</v>
      </c>
    </row>
    <row r="5" spans="1:18">
      <c r="A5" s="563" t="s">
        <v>496</v>
      </c>
      <c r="B5" s="564" t="s">
        <v>246</v>
      </c>
      <c r="C5" s="565" t="s">
        <v>497</v>
      </c>
      <c r="D5" s="566" t="s">
        <v>484</v>
      </c>
      <c r="E5" s="3">
        <v>1</v>
      </c>
      <c r="F5" s="271">
        <v>0.33670033670033672</v>
      </c>
      <c r="G5" s="271">
        <v>1</v>
      </c>
      <c r="H5" s="5"/>
      <c r="I5" s="5"/>
      <c r="J5" s="409">
        <f>(+F5*G5+H5*I5)*E5</f>
        <v>0.33670033670033672</v>
      </c>
      <c r="K5" s="6" t="s">
        <v>69</v>
      </c>
      <c r="L5" s="5">
        <v>0.33670033670033672</v>
      </c>
      <c r="M5" s="4">
        <v>2</v>
      </c>
      <c r="N5" s="269">
        <f>IF(K5=0,"",L5*M5*E5)</f>
        <v>0.67340067340067344</v>
      </c>
      <c r="O5" s="20" t="s">
        <v>518</v>
      </c>
      <c r="Q5" s="606">
        <f>F5*G5*E5</f>
        <v>0.33670033670033672</v>
      </c>
      <c r="R5" s="606">
        <f>H5*E5*I5</f>
        <v>0</v>
      </c>
    </row>
    <row r="6" spans="1:18">
      <c r="A6" s="563" t="s">
        <v>447</v>
      </c>
      <c r="B6" s="564" t="s">
        <v>246</v>
      </c>
      <c r="C6" s="567" t="s">
        <v>497</v>
      </c>
      <c r="D6" s="568" t="s">
        <v>498</v>
      </c>
      <c r="E6" s="3">
        <v>1</v>
      </c>
      <c r="F6" s="272">
        <v>0.44642857142857145</v>
      </c>
      <c r="G6" s="272">
        <v>1</v>
      </c>
      <c r="H6" s="8"/>
      <c r="I6" s="5"/>
      <c r="J6" s="409">
        <f t="shared" ref="J6:J69" si="0">(+F6*G6+H6*I6)*E6</f>
        <v>0.44642857142857145</v>
      </c>
      <c r="K6" s="2" t="s">
        <v>69</v>
      </c>
      <c r="L6" s="8">
        <v>0.44642857142857145</v>
      </c>
      <c r="M6" s="7">
        <v>4</v>
      </c>
      <c r="N6" s="9">
        <f t="shared" ref="N6:N69" si="1">IF(K6=0,"",L6*M6*E6)</f>
        <v>1.7857142857142858</v>
      </c>
      <c r="O6" s="20" t="s">
        <v>518</v>
      </c>
      <c r="Q6" s="606">
        <f t="shared" ref="Q6:Q69" si="2">F6*G6*E6</f>
        <v>0.44642857142857145</v>
      </c>
      <c r="R6" s="606">
        <f t="shared" ref="R6:R69" si="3">H6*E6*I6</f>
        <v>0</v>
      </c>
    </row>
    <row r="7" spans="1:18">
      <c r="A7" s="563" t="s">
        <v>499</v>
      </c>
      <c r="B7" s="564" t="s">
        <v>248</v>
      </c>
      <c r="C7" s="568" t="s">
        <v>497</v>
      </c>
      <c r="D7" s="568" t="s">
        <v>500</v>
      </c>
      <c r="E7" s="3">
        <v>1</v>
      </c>
      <c r="F7" s="272">
        <v>0.49603174603174605</v>
      </c>
      <c r="G7" s="272">
        <v>1</v>
      </c>
      <c r="H7" s="8">
        <v>0.49603174603174605</v>
      </c>
      <c r="I7" s="5">
        <v>1</v>
      </c>
      <c r="J7" s="409">
        <f t="shared" si="0"/>
        <v>0.99206349206349209</v>
      </c>
      <c r="K7" s="2" t="s">
        <v>69</v>
      </c>
      <c r="L7" s="8">
        <v>0.49603174603174605</v>
      </c>
      <c r="M7" s="7">
        <v>4</v>
      </c>
      <c r="N7" s="9">
        <f t="shared" si="1"/>
        <v>1.9841269841269842</v>
      </c>
      <c r="O7" s="20" t="s">
        <v>518</v>
      </c>
      <c r="Q7" s="606">
        <f t="shared" si="2"/>
        <v>0.49603174603174605</v>
      </c>
      <c r="R7" s="606">
        <f t="shared" si="3"/>
        <v>0.49603174603174605</v>
      </c>
    </row>
    <row r="8" spans="1:18">
      <c r="A8" s="563" t="s">
        <v>501</v>
      </c>
      <c r="B8" s="564" t="s">
        <v>248</v>
      </c>
      <c r="C8" s="568" t="s">
        <v>502</v>
      </c>
      <c r="D8" s="568" t="s">
        <v>503</v>
      </c>
      <c r="E8" s="3">
        <v>1</v>
      </c>
      <c r="F8" s="272">
        <v>0.10262725779967161</v>
      </c>
      <c r="G8" s="272">
        <v>1</v>
      </c>
      <c r="H8" s="8">
        <v>0.10262725779967161</v>
      </c>
      <c r="I8" s="5">
        <v>1</v>
      </c>
      <c r="J8" s="409">
        <f t="shared" si="0"/>
        <v>0.20525451559934321</v>
      </c>
      <c r="K8" s="2" t="s">
        <v>69</v>
      </c>
      <c r="L8" s="8">
        <v>0.10262725779967161</v>
      </c>
      <c r="M8" s="7">
        <v>3</v>
      </c>
      <c r="N8" s="9">
        <f t="shared" si="1"/>
        <v>0.30788177339901479</v>
      </c>
      <c r="O8" s="20" t="s">
        <v>518</v>
      </c>
      <c r="Q8" s="606">
        <f t="shared" si="2"/>
        <v>0.10262725779967161</v>
      </c>
      <c r="R8" s="606">
        <f t="shared" si="3"/>
        <v>0.10262725779967161</v>
      </c>
    </row>
    <row r="9" spans="1:18">
      <c r="A9" s="563" t="s">
        <v>530</v>
      </c>
      <c r="B9" s="564" t="s">
        <v>218</v>
      </c>
      <c r="C9" s="568" t="s">
        <v>502</v>
      </c>
      <c r="D9" s="568" t="s">
        <v>503</v>
      </c>
      <c r="E9" s="3">
        <v>1</v>
      </c>
      <c r="F9" s="272">
        <v>0.10262725779967161</v>
      </c>
      <c r="G9" s="272">
        <v>1</v>
      </c>
      <c r="H9" s="8">
        <v>0.10262725779967161</v>
      </c>
      <c r="I9" s="5">
        <v>1</v>
      </c>
      <c r="J9" s="409">
        <f t="shared" si="0"/>
        <v>0.20525451559934321</v>
      </c>
      <c r="K9" s="2" t="s">
        <v>69</v>
      </c>
      <c r="L9" s="8">
        <v>0.10262725779967161</v>
      </c>
      <c r="M9" s="7">
        <v>3</v>
      </c>
      <c r="N9" s="9">
        <f t="shared" si="1"/>
        <v>0.30788177339901479</v>
      </c>
      <c r="O9" s="20" t="s">
        <v>518</v>
      </c>
      <c r="Q9" s="606">
        <f t="shared" si="2"/>
        <v>0.10262725779967161</v>
      </c>
      <c r="R9" s="606">
        <f t="shared" si="3"/>
        <v>0.10262725779967161</v>
      </c>
    </row>
    <row r="10" spans="1:18">
      <c r="A10" s="563" t="s">
        <v>504</v>
      </c>
      <c r="B10" s="564" t="s">
        <v>505</v>
      </c>
      <c r="C10" s="568" t="s">
        <v>502</v>
      </c>
      <c r="D10" s="568" t="s">
        <v>506</v>
      </c>
      <c r="E10" s="3">
        <v>1</v>
      </c>
      <c r="F10" s="272">
        <v>0.20833333333333331</v>
      </c>
      <c r="G10" s="272">
        <v>1</v>
      </c>
      <c r="H10" s="8"/>
      <c r="I10" s="5"/>
      <c r="J10" s="409">
        <f t="shared" si="0"/>
        <v>0.20833333333333331</v>
      </c>
      <c r="K10" s="2" t="s">
        <v>69</v>
      </c>
      <c r="L10" s="8">
        <v>0.20833333333333331</v>
      </c>
      <c r="M10" s="7">
        <v>1.5</v>
      </c>
      <c r="N10" s="9">
        <f t="shared" si="1"/>
        <v>0.3125</v>
      </c>
      <c r="O10" s="20" t="s">
        <v>518</v>
      </c>
      <c r="Q10" s="606">
        <f t="shared" si="2"/>
        <v>0.20833333333333331</v>
      </c>
      <c r="R10" s="606">
        <f t="shared" si="3"/>
        <v>0</v>
      </c>
    </row>
    <row r="11" spans="1:18">
      <c r="A11" s="563" t="s">
        <v>507</v>
      </c>
      <c r="B11" s="564" t="s">
        <v>204</v>
      </c>
      <c r="C11" s="567" t="s">
        <v>502</v>
      </c>
      <c r="D11" s="568" t="s">
        <v>508</v>
      </c>
      <c r="E11" s="3">
        <v>1</v>
      </c>
      <c r="F11" s="272">
        <v>0.57870370370370372</v>
      </c>
      <c r="G11" s="272">
        <v>1</v>
      </c>
      <c r="H11" s="8"/>
      <c r="I11" s="5"/>
      <c r="J11" s="409">
        <f t="shared" si="0"/>
        <v>0.57870370370370372</v>
      </c>
      <c r="K11" s="2" t="s">
        <v>69</v>
      </c>
      <c r="L11" s="8">
        <v>0.57870370370370372</v>
      </c>
      <c r="M11" s="7">
        <v>3</v>
      </c>
      <c r="N11" s="9">
        <f t="shared" si="1"/>
        <v>1.7361111111111112</v>
      </c>
      <c r="O11" s="20" t="s">
        <v>518</v>
      </c>
      <c r="Q11" s="606">
        <f t="shared" si="2"/>
        <v>0.57870370370370372</v>
      </c>
      <c r="R11" s="606">
        <f t="shared" si="3"/>
        <v>0</v>
      </c>
    </row>
    <row r="12" spans="1:18">
      <c r="A12" s="563" t="s">
        <v>509</v>
      </c>
      <c r="B12" s="564" t="s">
        <v>209</v>
      </c>
      <c r="C12" s="567" t="s">
        <v>502</v>
      </c>
      <c r="D12" s="568" t="s">
        <v>510</v>
      </c>
      <c r="E12" s="3">
        <v>1</v>
      </c>
      <c r="F12" s="272">
        <v>0.43787629994526556</v>
      </c>
      <c r="G12" s="272">
        <v>1</v>
      </c>
      <c r="H12" s="8"/>
      <c r="I12" s="5"/>
      <c r="J12" s="409">
        <f t="shared" si="0"/>
        <v>0.43787629994526556</v>
      </c>
      <c r="K12" s="2" t="s">
        <v>69</v>
      </c>
      <c r="L12" s="8">
        <v>0.43787629994526556</v>
      </c>
      <c r="M12" s="7">
        <v>3</v>
      </c>
      <c r="N12" s="9">
        <f t="shared" si="1"/>
        <v>1.3136288998357966</v>
      </c>
      <c r="O12" s="20" t="s">
        <v>518</v>
      </c>
      <c r="Q12" s="606">
        <f t="shared" si="2"/>
        <v>0.43787629994526556</v>
      </c>
      <c r="R12" s="606">
        <f t="shared" si="3"/>
        <v>0</v>
      </c>
    </row>
    <row r="13" spans="1:18">
      <c r="A13" s="563" t="s">
        <v>511</v>
      </c>
      <c r="B13" s="564" t="s">
        <v>201</v>
      </c>
      <c r="C13" s="568" t="s">
        <v>502</v>
      </c>
      <c r="D13" s="568" t="s">
        <v>512</v>
      </c>
      <c r="E13" s="3">
        <v>1</v>
      </c>
      <c r="F13" s="272">
        <v>0.43787629994526556</v>
      </c>
      <c r="G13" s="272">
        <v>1</v>
      </c>
      <c r="H13" s="8"/>
      <c r="I13" s="5"/>
      <c r="J13" s="409">
        <f t="shared" si="0"/>
        <v>0.43787629994526556</v>
      </c>
      <c r="K13" s="2" t="s">
        <v>69</v>
      </c>
      <c r="L13" s="8">
        <v>0.43787629994526556</v>
      </c>
      <c r="M13" s="7">
        <v>3</v>
      </c>
      <c r="N13" s="9">
        <f t="shared" si="1"/>
        <v>1.3136288998357966</v>
      </c>
      <c r="O13" s="20" t="s">
        <v>518</v>
      </c>
      <c r="Q13" s="606">
        <f t="shared" si="2"/>
        <v>0.43787629994526556</v>
      </c>
      <c r="R13" s="606">
        <f t="shared" si="3"/>
        <v>0</v>
      </c>
    </row>
    <row r="14" spans="1:18">
      <c r="A14" s="563" t="s">
        <v>513</v>
      </c>
      <c r="B14" s="564" t="s">
        <v>228</v>
      </c>
      <c r="C14" s="569" t="s">
        <v>468</v>
      </c>
      <c r="D14" s="568"/>
      <c r="E14" s="3">
        <v>1</v>
      </c>
      <c r="F14" s="272">
        <v>0.90187590187590194</v>
      </c>
      <c r="G14" s="272">
        <v>1</v>
      </c>
      <c r="H14" s="8">
        <v>0.90187590187590194</v>
      </c>
      <c r="I14" s="5">
        <v>1</v>
      </c>
      <c r="J14" s="409">
        <f t="shared" si="0"/>
        <v>1.8037518037518039</v>
      </c>
      <c r="K14" s="2" t="s">
        <v>69</v>
      </c>
      <c r="L14" s="8">
        <v>0.90187590187590194</v>
      </c>
      <c r="M14" s="7">
        <v>4.5</v>
      </c>
      <c r="N14" s="9">
        <f t="shared" si="1"/>
        <v>4.058441558441559</v>
      </c>
      <c r="O14" s="20" t="s">
        <v>518</v>
      </c>
      <c r="Q14" s="606">
        <f t="shared" si="2"/>
        <v>0.90187590187590194</v>
      </c>
      <c r="R14" s="606">
        <f t="shared" si="3"/>
        <v>0.90187590187590194</v>
      </c>
    </row>
    <row r="15" spans="1:18">
      <c r="A15" s="563" t="s">
        <v>514</v>
      </c>
      <c r="B15" s="564" t="s">
        <v>228</v>
      </c>
      <c r="C15" s="569" t="s">
        <v>515</v>
      </c>
      <c r="D15" s="568"/>
      <c r="E15" s="3">
        <v>1</v>
      </c>
      <c r="F15" s="272">
        <v>0.4</v>
      </c>
      <c r="G15" s="272">
        <v>1</v>
      </c>
      <c r="H15" s="8"/>
      <c r="I15" s="5"/>
      <c r="J15" s="409">
        <f t="shared" si="0"/>
        <v>0.4</v>
      </c>
      <c r="K15" s="2" t="s">
        <v>71</v>
      </c>
      <c r="L15" s="8">
        <v>0.4</v>
      </c>
      <c r="M15" s="7">
        <v>3</v>
      </c>
      <c r="N15" s="9">
        <f t="shared" si="1"/>
        <v>1.2000000000000002</v>
      </c>
      <c r="O15" s="20" t="s">
        <v>519</v>
      </c>
      <c r="Q15" s="606">
        <f t="shared" si="2"/>
        <v>0.4</v>
      </c>
      <c r="R15" s="606">
        <f t="shared" si="3"/>
        <v>0</v>
      </c>
    </row>
    <row r="16" spans="1:18">
      <c r="A16" s="563" t="s">
        <v>504</v>
      </c>
      <c r="B16" s="564" t="s">
        <v>203</v>
      </c>
      <c r="C16" s="569" t="s">
        <v>502</v>
      </c>
      <c r="D16" s="568" t="s">
        <v>506</v>
      </c>
      <c r="E16" s="3">
        <v>1</v>
      </c>
      <c r="F16" s="272">
        <v>0.20833333333333331</v>
      </c>
      <c r="G16" s="272">
        <v>1</v>
      </c>
      <c r="H16" s="8"/>
      <c r="I16" s="5"/>
      <c r="J16" s="409">
        <f t="shared" si="0"/>
        <v>0.20833333333333331</v>
      </c>
      <c r="K16" s="2" t="s">
        <v>69</v>
      </c>
      <c r="L16" s="8">
        <v>0.20833333333333331</v>
      </c>
      <c r="M16" s="7">
        <v>1.5</v>
      </c>
      <c r="N16" s="9">
        <f t="shared" si="1"/>
        <v>0.3125</v>
      </c>
      <c r="O16" s="20" t="s">
        <v>518</v>
      </c>
      <c r="Q16" s="606">
        <f t="shared" si="2"/>
        <v>0.20833333333333331</v>
      </c>
      <c r="R16" s="606">
        <f t="shared" si="3"/>
        <v>0</v>
      </c>
    </row>
    <row r="17" spans="1:18">
      <c r="A17" s="563" t="s">
        <v>509</v>
      </c>
      <c r="B17" s="564" t="s">
        <v>211</v>
      </c>
      <c r="C17" s="569" t="s">
        <v>502</v>
      </c>
      <c r="D17" s="568" t="s">
        <v>510</v>
      </c>
      <c r="E17" s="3">
        <v>1</v>
      </c>
      <c r="F17" s="272">
        <v>0.43787629994526556</v>
      </c>
      <c r="G17" s="272">
        <v>1</v>
      </c>
      <c r="H17" s="8"/>
      <c r="I17" s="5"/>
      <c r="J17" s="409">
        <f t="shared" si="0"/>
        <v>0.43787629994526556</v>
      </c>
      <c r="K17" s="2" t="s">
        <v>69</v>
      </c>
      <c r="L17" s="8">
        <v>0.43787629994526556</v>
      </c>
      <c r="M17" s="7">
        <v>3</v>
      </c>
      <c r="N17" s="9">
        <f t="shared" si="1"/>
        <v>1.3136288998357966</v>
      </c>
      <c r="O17" s="20" t="s">
        <v>518</v>
      </c>
      <c r="Q17" s="606">
        <f t="shared" si="2"/>
        <v>0.43787629994526556</v>
      </c>
      <c r="R17" s="606">
        <f t="shared" si="3"/>
        <v>0</v>
      </c>
    </row>
    <row r="18" spans="1:18">
      <c r="A18" s="563" t="s">
        <v>504</v>
      </c>
      <c r="B18" s="564" t="s">
        <v>516</v>
      </c>
      <c r="C18" s="569" t="s">
        <v>502</v>
      </c>
      <c r="D18" s="568" t="s">
        <v>506</v>
      </c>
      <c r="E18" s="3">
        <v>1</v>
      </c>
      <c r="F18" s="272">
        <v>0.20833333333333331</v>
      </c>
      <c r="G18" s="272">
        <v>1</v>
      </c>
      <c r="H18" s="8"/>
      <c r="I18" s="5"/>
      <c r="J18" s="409">
        <f t="shared" si="0"/>
        <v>0.20833333333333331</v>
      </c>
      <c r="K18" s="2" t="s">
        <v>69</v>
      </c>
      <c r="L18" s="8">
        <v>0.20833333333333331</v>
      </c>
      <c r="M18" s="7">
        <v>1.5</v>
      </c>
      <c r="N18" s="9">
        <f t="shared" si="1"/>
        <v>0.3125</v>
      </c>
      <c r="O18" s="20" t="s">
        <v>518</v>
      </c>
      <c r="Q18" s="606">
        <f t="shared" si="2"/>
        <v>0.20833333333333331</v>
      </c>
      <c r="R18" s="606">
        <f t="shared" si="3"/>
        <v>0</v>
      </c>
    </row>
    <row r="19" spans="1:18">
      <c r="A19" s="563" t="s">
        <v>530</v>
      </c>
      <c r="B19" s="564" t="s">
        <v>219</v>
      </c>
      <c r="C19" s="569" t="s">
        <v>502</v>
      </c>
      <c r="D19" s="568" t="s">
        <v>503</v>
      </c>
      <c r="E19" s="3">
        <v>1</v>
      </c>
      <c r="F19" s="272">
        <v>0.10262725779967161</v>
      </c>
      <c r="G19" s="272">
        <v>1</v>
      </c>
      <c r="H19" s="8">
        <v>0.10262725779967161</v>
      </c>
      <c r="I19" s="5">
        <v>1</v>
      </c>
      <c r="J19" s="409">
        <f t="shared" si="0"/>
        <v>0.20525451559934321</v>
      </c>
      <c r="K19" s="2" t="s">
        <v>69</v>
      </c>
      <c r="L19" s="8">
        <v>0.10262725779967161</v>
      </c>
      <c r="M19" s="7">
        <v>3</v>
      </c>
      <c r="N19" s="9">
        <f t="shared" si="1"/>
        <v>0.30788177339901479</v>
      </c>
      <c r="O19" s="20" t="s">
        <v>518</v>
      </c>
      <c r="Q19" s="606">
        <f t="shared" si="2"/>
        <v>0.10262725779967161</v>
      </c>
      <c r="R19" s="606">
        <f t="shared" si="3"/>
        <v>0.10262725779967161</v>
      </c>
    </row>
    <row r="20" spans="1:18">
      <c r="A20" s="563" t="s">
        <v>471</v>
      </c>
      <c r="B20" s="564" t="s">
        <v>246</v>
      </c>
      <c r="C20" s="568" t="s">
        <v>497</v>
      </c>
      <c r="D20" s="568" t="s">
        <v>493</v>
      </c>
      <c r="E20" s="3">
        <v>1</v>
      </c>
      <c r="F20" s="272">
        <v>0.49603174603174616</v>
      </c>
      <c r="G20" s="272">
        <v>1</v>
      </c>
      <c r="H20" s="8"/>
      <c r="I20" s="5"/>
      <c r="J20" s="409">
        <f t="shared" si="0"/>
        <v>0.49603174603174616</v>
      </c>
      <c r="K20" s="2" t="s">
        <v>69</v>
      </c>
      <c r="L20" s="8">
        <v>0.49603174603174616</v>
      </c>
      <c r="M20" s="7">
        <v>4</v>
      </c>
      <c r="N20" s="9">
        <f t="shared" si="1"/>
        <v>1.9841269841269846</v>
      </c>
      <c r="O20" s="20" t="s">
        <v>518</v>
      </c>
      <c r="Q20" s="606">
        <f t="shared" si="2"/>
        <v>0.49603174603174616</v>
      </c>
      <c r="R20" s="606">
        <f t="shared" si="3"/>
        <v>0</v>
      </c>
    </row>
    <row r="21" spans="1:18">
      <c r="A21" s="563" t="s">
        <v>471</v>
      </c>
      <c r="B21" s="564" t="s">
        <v>246</v>
      </c>
      <c r="C21" s="568" t="s">
        <v>497</v>
      </c>
      <c r="D21" s="568" t="s">
        <v>517</v>
      </c>
      <c r="E21" s="3">
        <v>1</v>
      </c>
      <c r="F21" s="272">
        <v>0.32776138970829233</v>
      </c>
      <c r="G21" s="272">
        <v>1</v>
      </c>
      <c r="H21" s="8"/>
      <c r="I21" s="5"/>
      <c r="J21" s="409">
        <f t="shared" si="0"/>
        <v>0.32776138970829233</v>
      </c>
      <c r="K21" s="2" t="s">
        <v>69</v>
      </c>
      <c r="L21" s="8">
        <v>0.32776138970829233</v>
      </c>
      <c r="M21" s="7">
        <v>4</v>
      </c>
      <c r="N21" s="9">
        <f t="shared" si="1"/>
        <v>1.3110455588331693</v>
      </c>
      <c r="O21" s="20" t="s">
        <v>518</v>
      </c>
      <c r="Q21" s="606">
        <f t="shared" si="2"/>
        <v>0.32776138970829233</v>
      </c>
      <c r="R21" s="606">
        <f t="shared" si="3"/>
        <v>0</v>
      </c>
    </row>
    <row r="22" spans="1:18">
      <c r="A22" s="563" t="s">
        <v>511</v>
      </c>
      <c r="B22" s="564" t="s">
        <v>207</v>
      </c>
      <c r="C22" s="568" t="s">
        <v>502</v>
      </c>
      <c r="D22" s="568" t="s">
        <v>512</v>
      </c>
      <c r="E22" s="3">
        <v>1</v>
      </c>
      <c r="F22" s="272">
        <v>0.43787629994526556</v>
      </c>
      <c r="G22" s="272">
        <v>1</v>
      </c>
      <c r="H22" s="8"/>
      <c r="I22" s="5"/>
      <c r="J22" s="409">
        <f t="shared" si="0"/>
        <v>0.43787629994526556</v>
      </c>
      <c r="K22" s="2" t="s">
        <v>69</v>
      </c>
      <c r="L22" s="8">
        <v>0.43787629994526556</v>
      </c>
      <c r="M22" s="7">
        <v>1.5</v>
      </c>
      <c r="N22" s="9">
        <f t="shared" si="1"/>
        <v>0.65681444991789828</v>
      </c>
      <c r="O22" s="20" t="s">
        <v>518</v>
      </c>
      <c r="Q22" s="606">
        <f t="shared" si="2"/>
        <v>0.43787629994526556</v>
      </c>
      <c r="R22" s="606">
        <f t="shared" si="3"/>
        <v>0</v>
      </c>
    </row>
    <row r="23" spans="1:18">
      <c r="A23" s="563"/>
      <c r="B23" s="564"/>
      <c r="C23" s="568"/>
      <c r="D23" s="568"/>
      <c r="E23" s="3"/>
      <c r="F23" s="272"/>
      <c r="G23" s="272"/>
      <c r="H23" s="8"/>
      <c r="I23" s="5"/>
      <c r="J23" s="409">
        <f t="shared" si="0"/>
        <v>0</v>
      </c>
      <c r="K23" s="2"/>
      <c r="L23" s="8"/>
      <c r="M23" s="7"/>
      <c r="N23" s="9" t="str">
        <f t="shared" si="1"/>
        <v/>
      </c>
      <c r="O23" s="20"/>
      <c r="Q23" s="606">
        <f t="shared" si="2"/>
        <v>0</v>
      </c>
      <c r="R23" s="606">
        <f t="shared" si="3"/>
        <v>0</v>
      </c>
    </row>
    <row r="24" spans="1:18">
      <c r="A24" s="563"/>
      <c r="B24" s="564"/>
      <c r="C24" s="568"/>
      <c r="D24" s="568"/>
      <c r="E24" s="3"/>
      <c r="F24" s="272"/>
      <c r="G24" s="272"/>
      <c r="H24" s="8"/>
      <c r="I24" s="5"/>
      <c r="J24" s="409">
        <f t="shared" si="0"/>
        <v>0</v>
      </c>
      <c r="K24" s="2"/>
      <c r="L24" s="8"/>
      <c r="M24" s="7"/>
      <c r="N24" s="9" t="str">
        <f t="shared" si="1"/>
        <v/>
      </c>
      <c r="O24" s="20"/>
      <c r="Q24" s="606">
        <f t="shared" si="2"/>
        <v>0</v>
      </c>
      <c r="R24" s="606">
        <f t="shared" si="3"/>
        <v>0</v>
      </c>
    </row>
    <row r="25" spans="1:18">
      <c r="A25" s="563"/>
      <c r="B25" s="564"/>
      <c r="C25" s="568"/>
      <c r="D25" s="568"/>
      <c r="E25" s="3"/>
      <c r="F25" s="272"/>
      <c r="G25" s="272"/>
      <c r="H25" s="8"/>
      <c r="I25" s="5"/>
      <c r="J25" s="409">
        <f t="shared" si="0"/>
        <v>0</v>
      </c>
      <c r="K25" s="2"/>
      <c r="L25" s="8"/>
      <c r="M25" s="7"/>
      <c r="N25" s="9" t="str">
        <f t="shared" si="1"/>
        <v/>
      </c>
      <c r="O25" s="20"/>
      <c r="Q25" s="606">
        <f t="shared" si="2"/>
        <v>0</v>
      </c>
      <c r="R25" s="606">
        <f t="shared" si="3"/>
        <v>0</v>
      </c>
    </row>
    <row r="26" spans="1:18">
      <c r="A26" s="563"/>
      <c r="B26" s="564"/>
      <c r="C26" s="568"/>
      <c r="D26" s="568"/>
      <c r="E26" s="3"/>
      <c r="F26" s="272"/>
      <c r="G26" s="272"/>
      <c r="H26" s="8"/>
      <c r="I26" s="5"/>
      <c r="J26" s="409">
        <f t="shared" si="0"/>
        <v>0</v>
      </c>
      <c r="K26" s="2"/>
      <c r="L26" s="8"/>
      <c r="M26" s="7"/>
      <c r="N26" s="9" t="str">
        <f t="shared" si="1"/>
        <v/>
      </c>
      <c r="O26" s="20"/>
      <c r="Q26" s="606">
        <f t="shared" si="2"/>
        <v>0</v>
      </c>
      <c r="R26" s="606">
        <f t="shared" si="3"/>
        <v>0</v>
      </c>
    </row>
    <row r="27" spans="1:18">
      <c r="A27" s="563"/>
      <c r="B27" s="564"/>
      <c r="C27" s="568"/>
      <c r="D27" s="568"/>
      <c r="E27" s="3"/>
      <c r="F27" s="272"/>
      <c r="G27" s="272"/>
      <c r="H27" s="8"/>
      <c r="I27" s="5"/>
      <c r="J27" s="409">
        <f t="shared" si="0"/>
        <v>0</v>
      </c>
      <c r="K27" s="2"/>
      <c r="L27" s="8"/>
      <c r="M27" s="7"/>
      <c r="N27" s="9" t="str">
        <f t="shared" si="1"/>
        <v/>
      </c>
      <c r="O27" s="20"/>
      <c r="Q27" s="606">
        <f t="shared" si="2"/>
        <v>0</v>
      </c>
      <c r="R27" s="606">
        <f t="shared" si="3"/>
        <v>0</v>
      </c>
    </row>
    <row r="28" spans="1:18">
      <c r="A28" s="563"/>
      <c r="B28" s="564"/>
      <c r="C28" s="568"/>
      <c r="D28" s="568"/>
      <c r="E28" s="3"/>
      <c r="F28" s="272"/>
      <c r="G28" s="272"/>
      <c r="H28" s="8"/>
      <c r="I28" s="5"/>
      <c r="J28" s="409">
        <f t="shared" si="0"/>
        <v>0</v>
      </c>
      <c r="K28" s="2"/>
      <c r="L28" s="8"/>
      <c r="M28" s="7"/>
      <c r="N28" s="9" t="str">
        <f t="shared" si="1"/>
        <v/>
      </c>
      <c r="O28" s="20"/>
      <c r="Q28" s="606">
        <f t="shared" si="2"/>
        <v>0</v>
      </c>
      <c r="R28" s="606">
        <f t="shared" si="3"/>
        <v>0</v>
      </c>
    </row>
    <row r="29" spans="1:18">
      <c r="A29" s="563"/>
      <c r="B29" s="564"/>
      <c r="C29" s="568"/>
      <c r="D29" s="568"/>
      <c r="E29" s="3"/>
      <c r="F29" s="272"/>
      <c r="G29" s="272"/>
      <c r="H29" s="8"/>
      <c r="I29" s="5"/>
      <c r="J29" s="409">
        <f t="shared" si="0"/>
        <v>0</v>
      </c>
      <c r="K29" s="2"/>
      <c r="L29" s="8"/>
      <c r="M29" s="7"/>
      <c r="N29" s="9" t="str">
        <f t="shared" si="1"/>
        <v/>
      </c>
      <c r="O29" s="20"/>
      <c r="Q29" s="606">
        <f t="shared" si="2"/>
        <v>0</v>
      </c>
      <c r="R29" s="606">
        <f t="shared" si="3"/>
        <v>0</v>
      </c>
    </row>
    <row r="30" spans="1:18">
      <c r="A30" s="563"/>
      <c r="B30" s="564"/>
      <c r="C30" s="568"/>
      <c r="D30" s="568"/>
      <c r="E30" s="3"/>
      <c r="F30" s="272"/>
      <c r="G30" s="272"/>
      <c r="H30" s="8"/>
      <c r="I30" s="5"/>
      <c r="J30" s="409">
        <f t="shared" si="0"/>
        <v>0</v>
      </c>
      <c r="K30" s="2"/>
      <c r="L30" s="8"/>
      <c r="M30" s="7"/>
      <c r="N30" s="9" t="str">
        <f t="shared" si="1"/>
        <v/>
      </c>
      <c r="O30" s="20"/>
      <c r="Q30" s="606">
        <f t="shared" si="2"/>
        <v>0</v>
      </c>
      <c r="R30" s="606">
        <f t="shared" si="3"/>
        <v>0</v>
      </c>
    </row>
    <row r="31" spans="1:18">
      <c r="A31" s="563"/>
      <c r="B31" s="564"/>
      <c r="C31" s="568"/>
      <c r="D31" s="568"/>
      <c r="E31" s="3"/>
      <c r="F31" s="272"/>
      <c r="G31" s="272"/>
      <c r="H31" s="8"/>
      <c r="I31" s="5"/>
      <c r="J31" s="409">
        <f t="shared" si="0"/>
        <v>0</v>
      </c>
      <c r="K31" s="2"/>
      <c r="L31" s="8"/>
      <c r="M31" s="7"/>
      <c r="N31" s="9" t="str">
        <f t="shared" si="1"/>
        <v/>
      </c>
      <c r="O31" s="20"/>
      <c r="Q31" s="606">
        <f t="shared" si="2"/>
        <v>0</v>
      </c>
      <c r="R31" s="606">
        <f t="shared" si="3"/>
        <v>0</v>
      </c>
    </row>
    <row r="32" spans="1:18">
      <c r="A32" s="563"/>
      <c r="B32" s="564"/>
      <c r="C32" s="568"/>
      <c r="D32" s="568"/>
      <c r="E32" s="3"/>
      <c r="F32" s="272"/>
      <c r="G32" s="272"/>
      <c r="H32" s="8"/>
      <c r="I32" s="5"/>
      <c r="J32" s="409">
        <f t="shared" si="0"/>
        <v>0</v>
      </c>
      <c r="K32" s="2"/>
      <c r="L32" s="8"/>
      <c r="M32" s="7"/>
      <c r="N32" s="9" t="str">
        <f t="shared" si="1"/>
        <v/>
      </c>
      <c r="O32" s="20"/>
      <c r="Q32" s="606">
        <f t="shared" si="2"/>
        <v>0</v>
      </c>
      <c r="R32" s="606">
        <f t="shared" si="3"/>
        <v>0</v>
      </c>
    </row>
    <row r="33" spans="1:18">
      <c r="A33" s="563"/>
      <c r="B33" s="564"/>
      <c r="C33" s="568"/>
      <c r="D33" s="568"/>
      <c r="E33" s="3"/>
      <c r="F33" s="272"/>
      <c r="G33" s="272"/>
      <c r="H33" s="8"/>
      <c r="I33" s="5"/>
      <c r="J33" s="409">
        <f t="shared" si="0"/>
        <v>0</v>
      </c>
      <c r="K33" s="2"/>
      <c r="L33" s="8"/>
      <c r="M33" s="7"/>
      <c r="N33" s="9" t="str">
        <f t="shared" si="1"/>
        <v/>
      </c>
      <c r="O33" s="20"/>
      <c r="Q33" s="606">
        <f t="shared" si="2"/>
        <v>0</v>
      </c>
      <c r="R33" s="606">
        <f t="shared" si="3"/>
        <v>0</v>
      </c>
    </row>
    <row r="34" spans="1:18">
      <c r="A34" s="563"/>
      <c r="B34" s="564"/>
      <c r="C34" s="568"/>
      <c r="D34" s="568"/>
      <c r="E34" s="3"/>
      <c r="F34" s="272"/>
      <c r="G34" s="272"/>
      <c r="H34" s="8"/>
      <c r="I34" s="5"/>
      <c r="J34" s="409">
        <f t="shared" si="0"/>
        <v>0</v>
      </c>
      <c r="K34" s="2"/>
      <c r="L34" s="8"/>
      <c r="M34" s="7"/>
      <c r="N34" s="9" t="str">
        <f t="shared" si="1"/>
        <v/>
      </c>
      <c r="O34" s="20"/>
      <c r="Q34" s="606">
        <f t="shared" si="2"/>
        <v>0</v>
      </c>
      <c r="R34" s="606">
        <f t="shared" si="3"/>
        <v>0</v>
      </c>
    </row>
    <row r="35" spans="1:18">
      <c r="A35" s="563"/>
      <c r="B35" s="564"/>
      <c r="C35" s="568"/>
      <c r="D35" s="568"/>
      <c r="E35" s="3"/>
      <c r="F35" s="272"/>
      <c r="G35" s="272"/>
      <c r="H35" s="8"/>
      <c r="I35" s="5"/>
      <c r="J35" s="409">
        <f t="shared" si="0"/>
        <v>0</v>
      </c>
      <c r="K35" s="2"/>
      <c r="L35" s="8"/>
      <c r="M35" s="7"/>
      <c r="N35" s="9" t="str">
        <f t="shared" si="1"/>
        <v/>
      </c>
      <c r="O35" s="20"/>
      <c r="Q35" s="606">
        <f t="shared" si="2"/>
        <v>0</v>
      </c>
      <c r="R35" s="606">
        <f t="shared" si="3"/>
        <v>0</v>
      </c>
    </row>
    <row r="36" spans="1:18">
      <c r="A36" s="563"/>
      <c r="B36" s="564"/>
      <c r="C36" s="568"/>
      <c r="D36" s="568"/>
      <c r="E36" s="3"/>
      <c r="F36" s="272"/>
      <c r="G36" s="272"/>
      <c r="H36" s="8"/>
      <c r="I36" s="5"/>
      <c r="J36" s="409">
        <f t="shared" si="0"/>
        <v>0</v>
      </c>
      <c r="K36" s="2"/>
      <c r="L36" s="8"/>
      <c r="M36" s="7"/>
      <c r="N36" s="9" t="str">
        <f t="shared" si="1"/>
        <v/>
      </c>
      <c r="O36" s="20"/>
      <c r="Q36" s="606">
        <f t="shared" si="2"/>
        <v>0</v>
      </c>
      <c r="R36" s="606">
        <f t="shared" si="3"/>
        <v>0</v>
      </c>
    </row>
    <row r="37" spans="1:18">
      <c r="A37" s="563"/>
      <c r="B37" s="564"/>
      <c r="C37" s="568"/>
      <c r="D37" s="568"/>
      <c r="E37" s="3"/>
      <c r="F37" s="272"/>
      <c r="G37" s="272"/>
      <c r="H37" s="8"/>
      <c r="I37" s="5"/>
      <c r="J37" s="409">
        <f t="shared" si="0"/>
        <v>0</v>
      </c>
      <c r="K37" s="2"/>
      <c r="L37" s="8"/>
      <c r="M37" s="7"/>
      <c r="N37" s="9" t="str">
        <f t="shared" si="1"/>
        <v/>
      </c>
      <c r="O37" s="20"/>
      <c r="Q37" s="606">
        <f t="shared" si="2"/>
        <v>0</v>
      </c>
      <c r="R37" s="606">
        <f t="shared" si="3"/>
        <v>0</v>
      </c>
    </row>
    <row r="38" spans="1:18">
      <c r="A38" s="563"/>
      <c r="B38" s="564"/>
      <c r="C38" s="568"/>
      <c r="D38" s="568"/>
      <c r="E38" s="3"/>
      <c r="F38" s="272"/>
      <c r="G38" s="272"/>
      <c r="H38" s="8"/>
      <c r="I38" s="5"/>
      <c r="J38" s="409">
        <f t="shared" si="0"/>
        <v>0</v>
      </c>
      <c r="K38" s="2"/>
      <c r="L38" s="8"/>
      <c r="M38" s="7"/>
      <c r="N38" s="9" t="str">
        <f t="shared" si="1"/>
        <v/>
      </c>
      <c r="O38" s="20"/>
      <c r="Q38" s="606">
        <f t="shared" si="2"/>
        <v>0</v>
      </c>
      <c r="R38" s="606">
        <f t="shared" si="3"/>
        <v>0</v>
      </c>
    </row>
    <row r="39" spans="1:18">
      <c r="A39" s="563"/>
      <c r="B39" s="564"/>
      <c r="C39" s="568"/>
      <c r="D39" s="568"/>
      <c r="E39" s="3"/>
      <c r="F39" s="272"/>
      <c r="G39" s="272"/>
      <c r="H39" s="8"/>
      <c r="I39" s="5"/>
      <c r="J39" s="409">
        <f t="shared" si="0"/>
        <v>0</v>
      </c>
      <c r="K39" s="2"/>
      <c r="L39" s="8"/>
      <c r="M39" s="7"/>
      <c r="N39" s="9" t="str">
        <f t="shared" si="1"/>
        <v/>
      </c>
      <c r="O39" s="20"/>
      <c r="Q39" s="606">
        <f t="shared" si="2"/>
        <v>0</v>
      </c>
      <c r="R39" s="606">
        <f t="shared" si="3"/>
        <v>0</v>
      </c>
    </row>
    <row r="40" spans="1:18">
      <c r="A40" s="563"/>
      <c r="B40" s="564"/>
      <c r="C40" s="568"/>
      <c r="D40" s="568"/>
      <c r="E40" s="3"/>
      <c r="F40" s="272"/>
      <c r="G40" s="272"/>
      <c r="H40" s="8"/>
      <c r="I40" s="5"/>
      <c r="J40" s="409">
        <f t="shared" si="0"/>
        <v>0</v>
      </c>
      <c r="K40" s="2"/>
      <c r="L40" s="8"/>
      <c r="M40" s="7"/>
      <c r="N40" s="9" t="str">
        <f t="shared" si="1"/>
        <v/>
      </c>
      <c r="O40" s="20"/>
      <c r="Q40" s="606">
        <f t="shared" si="2"/>
        <v>0</v>
      </c>
      <c r="R40" s="606">
        <f t="shared" si="3"/>
        <v>0</v>
      </c>
    </row>
    <row r="41" spans="1:18">
      <c r="A41" s="563"/>
      <c r="B41" s="564"/>
      <c r="C41" s="568"/>
      <c r="D41" s="568"/>
      <c r="E41" s="3"/>
      <c r="F41" s="272"/>
      <c r="G41" s="272"/>
      <c r="H41" s="8"/>
      <c r="I41" s="5"/>
      <c r="J41" s="409">
        <f t="shared" si="0"/>
        <v>0</v>
      </c>
      <c r="K41" s="2"/>
      <c r="L41" s="8"/>
      <c r="M41" s="7"/>
      <c r="N41" s="9" t="str">
        <f t="shared" si="1"/>
        <v/>
      </c>
      <c r="O41" s="20"/>
      <c r="Q41" s="606">
        <f t="shared" si="2"/>
        <v>0</v>
      </c>
      <c r="R41" s="606">
        <f t="shared" si="3"/>
        <v>0</v>
      </c>
    </row>
    <row r="42" spans="1:18">
      <c r="A42" s="563"/>
      <c r="B42" s="564"/>
      <c r="C42" s="568"/>
      <c r="D42" s="568"/>
      <c r="E42" s="3"/>
      <c r="F42" s="272"/>
      <c r="G42" s="272"/>
      <c r="H42" s="8"/>
      <c r="I42" s="5"/>
      <c r="J42" s="409">
        <f t="shared" si="0"/>
        <v>0</v>
      </c>
      <c r="K42" s="2"/>
      <c r="L42" s="8"/>
      <c r="M42" s="7"/>
      <c r="N42" s="9" t="str">
        <f t="shared" si="1"/>
        <v/>
      </c>
      <c r="O42" s="20"/>
      <c r="Q42" s="606">
        <f t="shared" si="2"/>
        <v>0</v>
      </c>
      <c r="R42" s="606">
        <f t="shared" si="3"/>
        <v>0</v>
      </c>
    </row>
    <row r="43" spans="1:18">
      <c r="A43" s="563"/>
      <c r="B43" s="564"/>
      <c r="C43" s="568"/>
      <c r="D43" s="568"/>
      <c r="E43" s="3"/>
      <c r="F43" s="272"/>
      <c r="G43" s="272"/>
      <c r="H43" s="8"/>
      <c r="I43" s="5"/>
      <c r="J43" s="409">
        <f t="shared" si="0"/>
        <v>0</v>
      </c>
      <c r="K43" s="2"/>
      <c r="L43" s="8"/>
      <c r="M43" s="7"/>
      <c r="N43" s="9" t="str">
        <f t="shared" si="1"/>
        <v/>
      </c>
      <c r="O43" s="20"/>
      <c r="Q43" s="606">
        <f t="shared" si="2"/>
        <v>0</v>
      </c>
      <c r="R43" s="606">
        <f t="shared" si="3"/>
        <v>0</v>
      </c>
    </row>
    <row r="44" spans="1:18">
      <c r="A44" s="563"/>
      <c r="B44" s="564"/>
      <c r="C44" s="568"/>
      <c r="D44" s="568"/>
      <c r="E44" s="3"/>
      <c r="F44" s="272"/>
      <c r="G44" s="272"/>
      <c r="H44" s="8"/>
      <c r="I44" s="5"/>
      <c r="J44" s="409">
        <f t="shared" si="0"/>
        <v>0</v>
      </c>
      <c r="K44" s="2"/>
      <c r="L44" s="8"/>
      <c r="M44" s="7"/>
      <c r="N44" s="9" t="str">
        <f t="shared" si="1"/>
        <v/>
      </c>
      <c r="O44" s="20"/>
      <c r="Q44" s="606">
        <f t="shared" si="2"/>
        <v>0</v>
      </c>
      <c r="R44" s="606">
        <f t="shared" si="3"/>
        <v>0</v>
      </c>
    </row>
    <row r="45" spans="1:18">
      <c r="A45" s="563"/>
      <c r="B45" s="564"/>
      <c r="C45" s="568"/>
      <c r="D45" s="568"/>
      <c r="E45" s="3"/>
      <c r="F45" s="272"/>
      <c r="G45" s="272"/>
      <c r="H45" s="8"/>
      <c r="I45" s="5"/>
      <c r="J45" s="409">
        <f t="shared" si="0"/>
        <v>0</v>
      </c>
      <c r="K45" s="2"/>
      <c r="L45" s="8"/>
      <c r="M45" s="7"/>
      <c r="N45" s="9" t="str">
        <f t="shared" si="1"/>
        <v/>
      </c>
      <c r="O45" s="20"/>
      <c r="Q45" s="606">
        <f t="shared" si="2"/>
        <v>0</v>
      </c>
      <c r="R45" s="606">
        <f t="shared" si="3"/>
        <v>0</v>
      </c>
    </row>
    <row r="46" spans="1:18">
      <c r="A46" s="563"/>
      <c r="B46" s="564"/>
      <c r="C46" s="568"/>
      <c r="D46" s="568"/>
      <c r="E46" s="3"/>
      <c r="F46" s="272"/>
      <c r="G46" s="272"/>
      <c r="H46" s="8"/>
      <c r="I46" s="5"/>
      <c r="J46" s="409">
        <f t="shared" si="0"/>
        <v>0</v>
      </c>
      <c r="K46" s="2"/>
      <c r="L46" s="8"/>
      <c r="M46" s="7"/>
      <c r="N46" s="9" t="str">
        <f t="shared" si="1"/>
        <v/>
      </c>
      <c r="O46" s="20"/>
      <c r="Q46" s="606">
        <f t="shared" si="2"/>
        <v>0</v>
      </c>
      <c r="R46" s="606">
        <f t="shared" si="3"/>
        <v>0</v>
      </c>
    </row>
    <row r="47" spans="1:18">
      <c r="A47" s="563"/>
      <c r="B47" s="564"/>
      <c r="C47" s="568"/>
      <c r="D47" s="568"/>
      <c r="E47" s="3"/>
      <c r="F47" s="272"/>
      <c r="G47" s="272"/>
      <c r="H47" s="8"/>
      <c r="I47" s="5"/>
      <c r="J47" s="409">
        <f t="shared" si="0"/>
        <v>0</v>
      </c>
      <c r="K47" s="2"/>
      <c r="L47" s="8"/>
      <c r="M47" s="7"/>
      <c r="N47" s="9" t="str">
        <f t="shared" si="1"/>
        <v/>
      </c>
      <c r="O47" s="20"/>
      <c r="Q47" s="606">
        <f t="shared" si="2"/>
        <v>0</v>
      </c>
      <c r="R47" s="606">
        <f t="shared" si="3"/>
        <v>0</v>
      </c>
    </row>
    <row r="48" spans="1:18">
      <c r="A48" s="563"/>
      <c r="B48" s="564"/>
      <c r="C48" s="568"/>
      <c r="D48" s="568"/>
      <c r="E48" s="3"/>
      <c r="F48" s="272"/>
      <c r="G48" s="272"/>
      <c r="H48" s="8"/>
      <c r="I48" s="5"/>
      <c r="J48" s="409">
        <f t="shared" si="0"/>
        <v>0</v>
      </c>
      <c r="K48" s="2"/>
      <c r="L48" s="8"/>
      <c r="M48" s="7"/>
      <c r="N48" s="9" t="str">
        <f t="shared" si="1"/>
        <v/>
      </c>
      <c r="O48" s="20"/>
      <c r="Q48" s="606">
        <f t="shared" si="2"/>
        <v>0</v>
      </c>
      <c r="R48" s="606">
        <f t="shared" si="3"/>
        <v>0</v>
      </c>
    </row>
    <row r="49" spans="1:18">
      <c r="A49" s="563"/>
      <c r="B49" s="564"/>
      <c r="C49" s="568"/>
      <c r="D49" s="568"/>
      <c r="E49" s="3"/>
      <c r="F49" s="272"/>
      <c r="G49" s="272"/>
      <c r="H49" s="8"/>
      <c r="I49" s="5"/>
      <c r="J49" s="409">
        <f t="shared" si="0"/>
        <v>0</v>
      </c>
      <c r="K49" s="2"/>
      <c r="L49" s="8"/>
      <c r="M49" s="7"/>
      <c r="N49" s="9" t="str">
        <f t="shared" si="1"/>
        <v/>
      </c>
      <c r="O49" s="20"/>
      <c r="Q49" s="606">
        <f t="shared" si="2"/>
        <v>0</v>
      </c>
      <c r="R49" s="606">
        <f t="shared" si="3"/>
        <v>0</v>
      </c>
    </row>
    <row r="50" spans="1:18">
      <c r="A50" s="563"/>
      <c r="B50" s="564"/>
      <c r="C50" s="568"/>
      <c r="D50" s="568"/>
      <c r="E50" s="3"/>
      <c r="F50" s="272"/>
      <c r="G50" s="272"/>
      <c r="H50" s="8"/>
      <c r="I50" s="5"/>
      <c r="J50" s="409">
        <f t="shared" si="0"/>
        <v>0</v>
      </c>
      <c r="K50" s="2"/>
      <c r="L50" s="8"/>
      <c r="M50" s="7"/>
      <c r="N50" s="9" t="str">
        <f t="shared" si="1"/>
        <v/>
      </c>
      <c r="O50" s="20"/>
      <c r="Q50" s="606">
        <f t="shared" si="2"/>
        <v>0</v>
      </c>
      <c r="R50" s="606">
        <f t="shared" si="3"/>
        <v>0</v>
      </c>
    </row>
    <row r="51" spans="1:18">
      <c r="A51" s="563"/>
      <c r="B51" s="564"/>
      <c r="C51" s="568"/>
      <c r="D51" s="568"/>
      <c r="E51" s="3"/>
      <c r="F51" s="272"/>
      <c r="G51" s="272"/>
      <c r="H51" s="8"/>
      <c r="I51" s="5"/>
      <c r="J51" s="409">
        <f t="shared" si="0"/>
        <v>0</v>
      </c>
      <c r="K51" s="2"/>
      <c r="L51" s="8"/>
      <c r="M51" s="7"/>
      <c r="N51" s="9" t="str">
        <f t="shared" si="1"/>
        <v/>
      </c>
      <c r="O51" s="20"/>
      <c r="Q51" s="606">
        <f t="shared" si="2"/>
        <v>0</v>
      </c>
      <c r="R51" s="606">
        <f t="shared" si="3"/>
        <v>0</v>
      </c>
    </row>
    <row r="52" spans="1:18">
      <c r="A52" s="563"/>
      <c r="B52" s="564"/>
      <c r="C52" s="568"/>
      <c r="D52" s="568"/>
      <c r="E52" s="3"/>
      <c r="F52" s="272"/>
      <c r="G52" s="272"/>
      <c r="H52" s="8"/>
      <c r="I52" s="5"/>
      <c r="J52" s="409">
        <f t="shared" si="0"/>
        <v>0</v>
      </c>
      <c r="K52" s="2"/>
      <c r="L52" s="8"/>
      <c r="M52" s="7"/>
      <c r="N52" s="9" t="str">
        <f t="shared" si="1"/>
        <v/>
      </c>
      <c r="O52" s="20"/>
      <c r="Q52" s="606">
        <f t="shared" si="2"/>
        <v>0</v>
      </c>
      <c r="R52" s="606">
        <f t="shared" si="3"/>
        <v>0</v>
      </c>
    </row>
    <row r="53" spans="1:18">
      <c r="A53" s="563"/>
      <c r="B53" s="564"/>
      <c r="C53" s="568"/>
      <c r="D53" s="568"/>
      <c r="E53" s="3"/>
      <c r="F53" s="272"/>
      <c r="G53" s="272"/>
      <c r="H53" s="8"/>
      <c r="I53" s="5"/>
      <c r="J53" s="409">
        <f t="shared" si="0"/>
        <v>0</v>
      </c>
      <c r="K53" s="2"/>
      <c r="L53" s="8"/>
      <c r="M53" s="7"/>
      <c r="N53" s="9" t="str">
        <f t="shared" si="1"/>
        <v/>
      </c>
      <c r="O53" s="20"/>
      <c r="Q53" s="606">
        <f t="shared" si="2"/>
        <v>0</v>
      </c>
      <c r="R53" s="606">
        <f t="shared" si="3"/>
        <v>0</v>
      </c>
    </row>
    <row r="54" spans="1:18">
      <c r="A54" s="563"/>
      <c r="B54" s="564"/>
      <c r="C54" s="568"/>
      <c r="D54" s="568"/>
      <c r="E54" s="3"/>
      <c r="F54" s="272"/>
      <c r="G54" s="272"/>
      <c r="H54" s="8"/>
      <c r="I54" s="5"/>
      <c r="J54" s="409">
        <f t="shared" si="0"/>
        <v>0</v>
      </c>
      <c r="K54" s="2"/>
      <c r="L54" s="8"/>
      <c r="M54" s="7"/>
      <c r="N54" s="9" t="str">
        <f t="shared" si="1"/>
        <v/>
      </c>
      <c r="O54" s="20"/>
      <c r="Q54" s="606">
        <f t="shared" si="2"/>
        <v>0</v>
      </c>
      <c r="R54" s="606">
        <f t="shared" si="3"/>
        <v>0</v>
      </c>
    </row>
    <row r="55" spans="1:18">
      <c r="A55" s="563"/>
      <c r="B55" s="564"/>
      <c r="C55" s="568"/>
      <c r="D55" s="568"/>
      <c r="E55" s="3"/>
      <c r="F55" s="272"/>
      <c r="G55" s="272"/>
      <c r="H55" s="8"/>
      <c r="I55" s="5"/>
      <c r="J55" s="409">
        <f t="shared" si="0"/>
        <v>0</v>
      </c>
      <c r="K55" s="2"/>
      <c r="L55" s="8"/>
      <c r="M55" s="7"/>
      <c r="N55" s="9" t="str">
        <f t="shared" si="1"/>
        <v/>
      </c>
      <c r="O55" s="20"/>
      <c r="Q55" s="606">
        <f t="shared" si="2"/>
        <v>0</v>
      </c>
      <c r="R55" s="606">
        <f t="shared" si="3"/>
        <v>0</v>
      </c>
    </row>
    <row r="56" spans="1:18">
      <c r="A56" s="563"/>
      <c r="B56" s="564"/>
      <c r="C56" s="568"/>
      <c r="D56" s="568"/>
      <c r="E56" s="3"/>
      <c r="F56" s="272"/>
      <c r="G56" s="272"/>
      <c r="H56" s="8"/>
      <c r="I56" s="5"/>
      <c r="J56" s="409">
        <f t="shared" si="0"/>
        <v>0</v>
      </c>
      <c r="K56" s="2"/>
      <c r="L56" s="8"/>
      <c r="M56" s="7"/>
      <c r="N56" s="9" t="str">
        <f t="shared" si="1"/>
        <v/>
      </c>
      <c r="O56" s="20"/>
      <c r="Q56" s="606">
        <f t="shared" si="2"/>
        <v>0</v>
      </c>
      <c r="R56" s="606">
        <f t="shared" si="3"/>
        <v>0</v>
      </c>
    </row>
    <row r="57" spans="1:18">
      <c r="A57" s="563"/>
      <c r="B57" s="564"/>
      <c r="C57" s="568"/>
      <c r="D57" s="568"/>
      <c r="E57" s="3"/>
      <c r="F57" s="272"/>
      <c r="G57" s="272"/>
      <c r="H57" s="8"/>
      <c r="I57" s="5"/>
      <c r="J57" s="409">
        <f t="shared" si="0"/>
        <v>0</v>
      </c>
      <c r="K57" s="2"/>
      <c r="L57" s="8"/>
      <c r="M57" s="7"/>
      <c r="N57" s="9" t="str">
        <f t="shared" si="1"/>
        <v/>
      </c>
      <c r="O57" s="20"/>
      <c r="Q57" s="606">
        <f t="shared" si="2"/>
        <v>0</v>
      </c>
      <c r="R57" s="606">
        <f t="shared" si="3"/>
        <v>0</v>
      </c>
    </row>
    <row r="58" spans="1:18">
      <c r="A58" s="563"/>
      <c r="B58" s="564"/>
      <c r="C58" s="568"/>
      <c r="D58" s="568"/>
      <c r="E58" s="3"/>
      <c r="F58" s="272"/>
      <c r="G58" s="272"/>
      <c r="H58" s="8"/>
      <c r="I58" s="5"/>
      <c r="J58" s="409">
        <f t="shared" si="0"/>
        <v>0</v>
      </c>
      <c r="K58" s="2"/>
      <c r="L58" s="8"/>
      <c r="M58" s="7"/>
      <c r="N58" s="9" t="str">
        <f t="shared" si="1"/>
        <v/>
      </c>
      <c r="O58" s="20"/>
      <c r="Q58" s="606">
        <f t="shared" si="2"/>
        <v>0</v>
      </c>
      <c r="R58" s="606">
        <f t="shared" si="3"/>
        <v>0</v>
      </c>
    </row>
    <row r="59" spans="1:18">
      <c r="A59" s="563"/>
      <c r="B59" s="564"/>
      <c r="C59" s="568"/>
      <c r="D59" s="568"/>
      <c r="E59" s="3"/>
      <c r="F59" s="272"/>
      <c r="G59" s="272"/>
      <c r="H59" s="8"/>
      <c r="I59" s="5"/>
      <c r="J59" s="409">
        <f t="shared" si="0"/>
        <v>0</v>
      </c>
      <c r="K59" s="2"/>
      <c r="L59" s="8"/>
      <c r="M59" s="7"/>
      <c r="N59" s="9" t="str">
        <f t="shared" si="1"/>
        <v/>
      </c>
      <c r="O59" s="20"/>
      <c r="Q59" s="606">
        <f t="shared" si="2"/>
        <v>0</v>
      </c>
      <c r="R59" s="606">
        <f t="shared" si="3"/>
        <v>0</v>
      </c>
    </row>
    <row r="60" spans="1:18">
      <c r="A60" s="563"/>
      <c r="B60" s="564"/>
      <c r="C60" s="568"/>
      <c r="D60" s="568"/>
      <c r="E60" s="3"/>
      <c r="F60" s="272"/>
      <c r="G60" s="272"/>
      <c r="H60" s="8"/>
      <c r="I60" s="5"/>
      <c r="J60" s="409">
        <f t="shared" si="0"/>
        <v>0</v>
      </c>
      <c r="K60" s="2"/>
      <c r="L60" s="8"/>
      <c r="M60" s="7"/>
      <c r="N60" s="9" t="str">
        <f t="shared" si="1"/>
        <v/>
      </c>
      <c r="O60" s="20"/>
      <c r="Q60" s="606">
        <f t="shared" si="2"/>
        <v>0</v>
      </c>
      <c r="R60" s="606">
        <f t="shared" si="3"/>
        <v>0</v>
      </c>
    </row>
    <row r="61" spans="1:18">
      <c r="A61" s="563"/>
      <c r="B61" s="564"/>
      <c r="C61" s="568"/>
      <c r="D61" s="568"/>
      <c r="E61" s="3"/>
      <c r="F61" s="272"/>
      <c r="G61" s="272"/>
      <c r="H61" s="8"/>
      <c r="I61" s="5"/>
      <c r="J61" s="409">
        <f t="shared" si="0"/>
        <v>0</v>
      </c>
      <c r="K61" s="2"/>
      <c r="L61" s="8"/>
      <c r="M61" s="7"/>
      <c r="N61" s="9" t="str">
        <f t="shared" si="1"/>
        <v/>
      </c>
      <c r="O61" s="20"/>
      <c r="Q61" s="606">
        <f t="shared" si="2"/>
        <v>0</v>
      </c>
      <c r="R61" s="606">
        <f t="shared" si="3"/>
        <v>0</v>
      </c>
    </row>
    <row r="62" spans="1:18">
      <c r="A62" s="563"/>
      <c r="B62" s="564"/>
      <c r="C62" s="568"/>
      <c r="D62" s="568"/>
      <c r="E62" s="3"/>
      <c r="F62" s="272"/>
      <c r="G62" s="272"/>
      <c r="H62" s="8"/>
      <c r="I62" s="5"/>
      <c r="J62" s="409">
        <f t="shared" si="0"/>
        <v>0</v>
      </c>
      <c r="K62" s="2"/>
      <c r="L62" s="8"/>
      <c r="M62" s="7"/>
      <c r="N62" s="9" t="str">
        <f t="shared" si="1"/>
        <v/>
      </c>
      <c r="O62" s="20"/>
      <c r="Q62" s="606">
        <f t="shared" si="2"/>
        <v>0</v>
      </c>
      <c r="R62" s="606">
        <f t="shared" si="3"/>
        <v>0</v>
      </c>
    </row>
    <row r="63" spans="1:18">
      <c r="A63" s="563"/>
      <c r="B63" s="564"/>
      <c r="C63" s="568"/>
      <c r="D63" s="568"/>
      <c r="E63" s="3"/>
      <c r="F63" s="272"/>
      <c r="G63" s="272"/>
      <c r="H63" s="8"/>
      <c r="I63" s="5"/>
      <c r="J63" s="409">
        <f t="shared" si="0"/>
        <v>0</v>
      </c>
      <c r="K63" s="2"/>
      <c r="L63" s="8"/>
      <c r="M63" s="7"/>
      <c r="N63" s="9" t="str">
        <f t="shared" si="1"/>
        <v/>
      </c>
      <c r="O63" s="20"/>
      <c r="Q63" s="606">
        <f t="shared" si="2"/>
        <v>0</v>
      </c>
      <c r="R63" s="606">
        <f t="shared" si="3"/>
        <v>0</v>
      </c>
    </row>
    <row r="64" spans="1:18">
      <c r="A64" s="563"/>
      <c r="B64" s="564"/>
      <c r="C64" s="568"/>
      <c r="D64" s="568"/>
      <c r="E64" s="3"/>
      <c r="F64" s="272"/>
      <c r="G64" s="272"/>
      <c r="H64" s="8"/>
      <c r="I64" s="5"/>
      <c r="J64" s="409">
        <f t="shared" si="0"/>
        <v>0</v>
      </c>
      <c r="K64" s="2"/>
      <c r="L64" s="8"/>
      <c r="M64" s="7"/>
      <c r="N64" s="9" t="str">
        <f t="shared" si="1"/>
        <v/>
      </c>
      <c r="O64" s="20"/>
      <c r="Q64" s="606">
        <f t="shared" si="2"/>
        <v>0</v>
      </c>
      <c r="R64" s="606">
        <f t="shared" si="3"/>
        <v>0</v>
      </c>
    </row>
    <row r="65" spans="1:18">
      <c r="A65" s="563"/>
      <c r="B65" s="564"/>
      <c r="C65" s="568"/>
      <c r="D65" s="568"/>
      <c r="E65" s="3"/>
      <c r="F65" s="272"/>
      <c r="G65" s="272"/>
      <c r="H65" s="8"/>
      <c r="I65" s="5"/>
      <c r="J65" s="409">
        <f t="shared" si="0"/>
        <v>0</v>
      </c>
      <c r="K65" s="2"/>
      <c r="L65" s="8"/>
      <c r="M65" s="7"/>
      <c r="N65" s="9" t="str">
        <f t="shared" si="1"/>
        <v/>
      </c>
      <c r="O65" s="20"/>
      <c r="Q65" s="606">
        <f t="shared" si="2"/>
        <v>0</v>
      </c>
      <c r="R65" s="606">
        <f t="shared" si="3"/>
        <v>0</v>
      </c>
    </row>
    <row r="66" spans="1:18">
      <c r="A66" s="563"/>
      <c r="B66" s="564"/>
      <c r="C66" s="568"/>
      <c r="D66" s="568"/>
      <c r="E66" s="3"/>
      <c r="F66" s="272"/>
      <c r="G66" s="272"/>
      <c r="H66" s="8"/>
      <c r="I66" s="5"/>
      <c r="J66" s="409">
        <f t="shared" si="0"/>
        <v>0</v>
      </c>
      <c r="K66" s="2"/>
      <c r="L66" s="8"/>
      <c r="M66" s="7"/>
      <c r="N66" s="9" t="str">
        <f t="shared" si="1"/>
        <v/>
      </c>
      <c r="O66" s="20"/>
      <c r="Q66" s="606">
        <f t="shared" si="2"/>
        <v>0</v>
      </c>
      <c r="R66" s="606">
        <f t="shared" si="3"/>
        <v>0</v>
      </c>
    </row>
    <row r="67" spans="1:18">
      <c r="A67" s="563"/>
      <c r="B67" s="564"/>
      <c r="C67" s="568"/>
      <c r="D67" s="568"/>
      <c r="E67" s="3"/>
      <c r="F67" s="272"/>
      <c r="G67" s="272"/>
      <c r="H67" s="8"/>
      <c r="I67" s="5"/>
      <c r="J67" s="409">
        <f t="shared" si="0"/>
        <v>0</v>
      </c>
      <c r="K67" s="2"/>
      <c r="L67" s="8"/>
      <c r="M67" s="7"/>
      <c r="N67" s="9" t="str">
        <f t="shared" si="1"/>
        <v/>
      </c>
      <c r="O67" s="20"/>
      <c r="Q67" s="606">
        <f t="shared" si="2"/>
        <v>0</v>
      </c>
      <c r="R67" s="606">
        <f t="shared" si="3"/>
        <v>0</v>
      </c>
    </row>
    <row r="68" spans="1:18">
      <c r="A68" s="563"/>
      <c r="B68" s="564"/>
      <c r="C68" s="568"/>
      <c r="D68" s="568"/>
      <c r="E68" s="3"/>
      <c r="F68" s="272"/>
      <c r="G68" s="272"/>
      <c r="H68" s="8"/>
      <c r="I68" s="5"/>
      <c r="J68" s="409">
        <f t="shared" si="0"/>
        <v>0</v>
      </c>
      <c r="K68" s="2"/>
      <c r="L68" s="8"/>
      <c r="M68" s="7"/>
      <c r="N68" s="9" t="str">
        <f t="shared" si="1"/>
        <v/>
      </c>
      <c r="O68" s="20"/>
      <c r="Q68" s="606">
        <f t="shared" si="2"/>
        <v>0</v>
      </c>
      <c r="R68" s="606">
        <f t="shared" si="3"/>
        <v>0</v>
      </c>
    </row>
    <row r="69" spans="1:18">
      <c r="A69" s="563"/>
      <c r="B69" s="564"/>
      <c r="C69" s="568"/>
      <c r="D69" s="568"/>
      <c r="E69" s="3"/>
      <c r="F69" s="272"/>
      <c r="G69" s="272"/>
      <c r="H69" s="8"/>
      <c r="I69" s="5"/>
      <c r="J69" s="409">
        <f t="shared" si="0"/>
        <v>0</v>
      </c>
      <c r="K69" s="2"/>
      <c r="L69" s="8"/>
      <c r="M69" s="7"/>
      <c r="N69" s="9" t="str">
        <f t="shared" si="1"/>
        <v/>
      </c>
      <c r="O69" s="20"/>
      <c r="Q69" s="606">
        <f t="shared" si="2"/>
        <v>0</v>
      </c>
      <c r="R69" s="606">
        <f t="shared" si="3"/>
        <v>0</v>
      </c>
    </row>
    <row r="70" spans="1:18">
      <c r="A70" s="563"/>
      <c r="B70" s="564"/>
      <c r="C70" s="568"/>
      <c r="D70" s="568"/>
      <c r="E70" s="3"/>
      <c r="F70" s="272"/>
      <c r="G70" s="272"/>
      <c r="H70" s="8"/>
      <c r="I70" s="5"/>
      <c r="J70" s="409">
        <f t="shared" ref="J70:J133" si="4">(+F70*G70+H70*I70)*E70</f>
        <v>0</v>
      </c>
      <c r="K70" s="2"/>
      <c r="L70" s="8"/>
      <c r="M70" s="7"/>
      <c r="N70" s="9" t="str">
        <f t="shared" ref="N70:N133" si="5">IF(K70=0,"",L70*M70*E70)</f>
        <v/>
      </c>
      <c r="O70" s="20"/>
      <c r="Q70" s="606">
        <f t="shared" ref="Q70:Q133" si="6">F70*G70*E70</f>
        <v>0</v>
      </c>
      <c r="R70" s="606">
        <f t="shared" ref="R70:R133" si="7">H70*E70*I70</f>
        <v>0</v>
      </c>
    </row>
    <row r="71" spans="1:18">
      <c r="A71" s="563"/>
      <c r="B71" s="564"/>
      <c r="C71" s="568"/>
      <c r="D71" s="568"/>
      <c r="E71" s="3"/>
      <c r="F71" s="272"/>
      <c r="G71" s="272"/>
      <c r="H71" s="8"/>
      <c r="I71" s="5"/>
      <c r="J71" s="409">
        <f t="shared" si="4"/>
        <v>0</v>
      </c>
      <c r="K71" s="2"/>
      <c r="L71" s="8"/>
      <c r="M71" s="7"/>
      <c r="N71" s="9" t="str">
        <f t="shared" si="5"/>
        <v/>
      </c>
      <c r="O71" s="20"/>
      <c r="Q71" s="606">
        <f t="shared" si="6"/>
        <v>0</v>
      </c>
      <c r="R71" s="606">
        <f t="shared" si="7"/>
        <v>0</v>
      </c>
    </row>
    <row r="72" spans="1:18">
      <c r="A72" s="563"/>
      <c r="B72" s="564"/>
      <c r="C72" s="568"/>
      <c r="D72" s="568"/>
      <c r="E72" s="3"/>
      <c r="F72" s="272"/>
      <c r="G72" s="272"/>
      <c r="H72" s="8"/>
      <c r="I72" s="5"/>
      <c r="J72" s="409">
        <f t="shared" si="4"/>
        <v>0</v>
      </c>
      <c r="K72" s="2"/>
      <c r="L72" s="8"/>
      <c r="M72" s="7"/>
      <c r="N72" s="9" t="str">
        <f t="shared" si="5"/>
        <v/>
      </c>
      <c r="O72" s="20"/>
      <c r="Q72" s="606">
        <f t="shared" si="6"/>
        <v>0</v>
      </c>
      <c r="R72" s="606">
        <f t="shared" si="7"/>
        <v>0</v>
      </c>
    </row>
    <row r="73" spans="1:18">
      <c r="A73" s="563"/>
      <c r="B73" s="564"/>
      <c r="C73" s="568"/>
      <c r="D73" s="568"/>
      <c r="E73" s="3"/>
      <c r="F73" s="272"/>
      <c r="G73" s="272"/>
      <c r="H73" s="8"/>
      <c r="I73" s="5"/>
      <c r="J73" s="409">
        <f t="shared" si="4"/>
        <v>0</v>
      </c>
      <c r="K73" s="2"/>
      <c r="L73" s="8"/>
      <c r="M73" s="7"/>
      <c r="N73" s="9" t="str">
        <f t="shared" si="5"/>
        <v/>
      </c>
      <c r="O73" s="20"/>
      <c r="Q73" s="606">
        <f t="shared" si="6"/>
        <v>0</v>
      </c>
      <c r="R73" s="606">
        <f t="shared" si="7"/>
        <v>0</v>
      </c>
    </row>
    <row r="74" spans="1:18">
      <c r="A74" s="563"/>
      <c r="B74" s="564"/>
      <c r="C74" s="568"/>
      <c r="D74" s="568"/>
      <c r="E74" s="3"/>
      <c r="F74" s="272"/>
      <c r="G74" s="272"/>
      <c r="H74" s="8"/>
      <c r="I74" s="5"/>
      <c r="J74" s="409">
        <f t="shared" si="4"/>
        <v>0</v>
      </c>
      <c r="K74" s="2"/>
      <c r="L74" s="8"/>
      <c r="M74" s="7"/>
      <c r="N74" s="9" t="str">
        <f t="shared" si="5"/>
        <v/>
      </c>
      <c r="O74" s="20"/>
      <c r="Q74" s="606">
        <f t="shared" si="6"/>
        <v>0</v>
      </c>
      <c r="R74" s="606">
        <f t="shared" si="7"/>
        <v>0</v>
      </c>
    </row>
    <row r="75" spans="1:18">
      <c r="A75" s="563"/>
      <c r="B75" s="564"/>
      <c r="C75" s="568"/>
      <c r="D75" s="568"/>
      <c r="E75" s="3"/>
      <c r="F75" s="272"/>
      <c r="G75" s="272"/>
      <c r="H75" s="8"/>
      <c r="I75" s="5"/>
      <c r="J75" s="409">
        <f t="shared" si="4"/>
        <v>0</v>
      </c>
      <c r="K75" s="2"/>
      <c r="L75" s="8"/>
      <c r="M75" s="7"/>
      <c r="N75" s="9" t="str">
        <f t="shared" si="5"/>
        <v/>
      </c>
      <c r="O75" s="20"/>
      <c r="Q75" s="606">
        <f t="shared" si="6"/>
        <v>0</v>
      </c>
      <c r="R75" s="606">
        <f t="shared" si="7"/>
        <v>0</v>
      </c>
    </row>
    <row r="76" spans="1:18">
      <c r="A76" s="563"/>
      <c r="B76" s="564"/>
      <c r="C76" s="568"/>
      <c r="D76" s="568"/>
      <c r="E76" s="3"/>
      <c r="F76" s="272"/>
      <c r="G76" s="272"/>
      <c r="H76" s="8"/>
      <c r="I76" s="5"/>
      <c r="J76" s="409">
        <f t="shared" si="4"/>
        <v>0</v>
      </c>
      <c r="K76" s="2"/>
      <c r="L76" s="8"/>
      <c r="M76" s="7"/>
      <c r="N76" s="9" t="str">
        <f t="shared" si="5"/>
        <v/>
      </c>
      <c r="O76" s="20"/>
      <c r="Q76" s="606">
        <f t="shared" si="6"/>
        <v>0</v>
      </c>
      <c r="R76" s="606">
        <f t="shared" si="7"/>
        <v>0</v>
      </c>
    </row>
    <row r="77" spans="1:18">
      <c r="A77" s="563"/>
      <c r="B77" s="564"/>
      <c r="C77" s="568"/>
      <c r="D77" s="568"/>
      <c r="E77" s="3"/>
      <c r="F77" s="272"/>
      <c r="G77" s="272"/>
      <c r="H77" s="8"/>
      <c r="I77" s="5"/>
      <c r="J77" s="409">
        <f t="shared" si="4"/>
        <v>0</v>
      </c>
      <c r="K77" s="2"/>
      <c r="L77" s="8"/>
      <c r="M77" s="7"/>
      <c r="N77" s="9" t="str">
        <f t="shared" si="5"/>
        <v/>
      </c>
      <c r="O77" s="20"/>
      <c r="Q77" s="606">
        <f t="shared" si="6"/>
        <v>0</v>
      </c>
      <c r="R77" s="606">
        <f t="shared" si="7"/>
        <v>0</v>
      </c>
    </row>
    <row r="78" spans="1:18">
      <c r="A78" s="563"/>
      <c r="B78" s="564"/>
      <c r="C78" s="568"/>
      <c r="D78" s="568"/>
      <c r="E78" s="3"/>
      <c r="F78" s="272"/>
      <c r="G78" s="272"/>
      <c r="H78" s="8"/>
      <c r="I78" s="5"/>
      <c r="J78" s="409">
        <f t="shared" si="4"/>
        <v>0</v>
      </c>
      <c r="K78" s="2"/>
      <c r="L78" s="8"/>
      <c r="M78" s="7"/>
      <c r="N78" s="9" t="str">
        <f t="shared" si="5"/>
        <v/>
      </c>
      <c r="O78" s="20"/>
      <c r="Q78" s="606">
        <f t="shared" si="6"/>
        <v>0</v>
      </c>
      <c r="R78" s="606">
        <f t="shared" si="7"/>
        <v>0</v>
      </c>
    </row>
    <row r="79" spans="1:18">
      <c r="A79" s="563"/>
      <c r="B79" s="564"/>
      <c r="C79" s="568"/>
      <c r="D79" s="568"/>
      <c r="E79" s="3"/>
      <c r="F79" s="272"/>
      <c r="G79" s="272"/>
      <c r="H79" s="8"/>
      <c r="I79" s="5"/>
      <c r="J79" s="409">
        <f t="shared" si="4"/>
        <v>0</v>
      </c>
      <c r="K79" s="2"/>
      <c r="L79" s="8"/>
      <c r="M79" s="7"/>
      <c r="N79" s="9" t="str">
        <f t="shared" si="5"/>
        <v/>
      </c>
      <c r="O79" s="20"/>
      <c r="Q79" s="606">
        <f t="shared" si="6"/>
        <v>0</v>
      </c>
      <c r="R79" s="606">
        <f t="shared" si="7"/>
        <v>0</v>
      </c>
    </row>
    <row r="80" spans="1:18">
      <c r="A80" s="563"/>
      <c r="B80" s="564"/>
      <c r="C80" s="568"/>
      <c r="D80" s="568"/>
      <c r="E80" s="3"/>
      <c r="F80" s="272"/>
      <c r="G80" s="272"/>
      <c r="H80" s="8"/>
      <c r="I80" s="5"/>
      <c r="J80" s="409">
        <f t="shared" si="4"/>
        <v>0</v>
      </c>
      <c r="K80" s="2"/>
      <c r="L80" s="8"/>
      <c r="M80" s="7"/>
      <c r="N80" s="9" t="str">
        <f t="shared" si="5"/>
        <v/>
      </c>
      <c r="O80" s="20"/>
      <c r="Q80" s="606">
        <f t="shared" si="6"/>
        <v>0</v>
      </c>
      <c r="R80" s="606">
        <f t="shared" si="7"/>
        <v>0</v>
      </c>
    </row>
    <row r="81" spans="1:18">
      <c r="A81" s="563"/>
      <c r="B81" s="564"/>
      <c r="C81" s="568"/>
      <c r="D81" s="568"/>
      <c r="E81" s="3"/>
      <c r="F81" s="272"/>
      <c r="G81" s="272"/>
      <c r="H81" s="8"/>
      <c r="I81" s="5"/>
      <c r="J81" s="409">
        <f t="shared" si="4"/>
        <v>0</v>
      </c>
      <c r="K81" s="2"/>
      <c r="L81" s="8"/>
      <c r="M81" s="7"/>
      <c r="N81" s="9" t="str">
        <f t="shared" si="5"/>
        <v/>
      </c>
      <c r="O81" s="20"/>
      <c r="Q81" s="606">
        <f t="shared" si="6"/>
        <v>0</v>
      </c>
      <c r="R81" s="606">
        <f t="shared" si="7"/>
        <v>0</v>
      </c>
    </row>
    <row r="82" spans="1:18">
      <c r="A82" s="563"/>
      <c r="B82" s="564"/>
      <c r="C82" s="568"/>
      <c r="D82" s="568"/>
      <c r="E82" s="3"/>
      <c r="F82" s="272"/>
      <c r="G82" s="272"/>
      <c r="H82" s="8"/>
      <c r="I82" s="5"/>
      <c r="J82" s="409">
        <f t="shared" si="4"/>
        <v>0</v>
      </c>
      <c r="K82" s="2"/>
      <c r="L82" s="8"/>
      <c r="M82" s="7"/>
      <c r="N82" s="9" t="str">
        <f t="shared" si="5"/>
        <v/>
      </c>
      <c r="O82" s="20"/>
      <c r="Q82" s="606">
        <f t="shared" si="6"/>
        <v>0</v>
      </c>
      <c r="R82" s="606">
        <f t="shared" si="7"/>
        <v>0</v>
      </c>
    </row>
    <row r="83" spans="1:18">
      <c r="A83" s="563"/>
      <c r="B83" s="564"/>
      <c r="C83" s="568"/>
      <c r="D83" s="568"/>
      <c r="E83" s="3"/>
      <c r="F83" s="272"/>
      <c r="G83" s="272"/>
      <c r="H83" s="8"/>
      <c r="I83" s="5"/>
      <c r="J83" s="409">
        <f t="shared" si="4"/>
        <v>0</v>
      </c>
      <c r="K83" s="2"/>
      <c r="L83" s="8"/>
      <c r="M83" s="7"/>
      <c r="N83" s="9" t="str">
        <f t="shared" si="5"/>
        <v/>
      </c>
      <c r="O83" s="20"/>
      <c r="Q83" s="606">
        <f t="shared" si="6"/>
        <v>0</v>
      </c>
      <c r="R83" s="606">
        <f t="shared" si="7"/>
        <v>0</v>
      </c>
    </row>
    <row r="84" spans="1:18">
      <c r="A84" s="563"/>
      <c r="B84" s="564"/>
      <c r="C84" s="568"/>
      <c r="D84" s="568"/>
      <c r="E84" s="3"/>
      <c r="F84" s="272"/>
      <c r="G84" s="272"/>
      <c r="H84" s="8"/>
      <c r="I84" s="5"/>
      <c r="J84" s="409">
        <f t="shared" si="4"/>
        <v>0</v>
      </c>
      <c r="K84" s="2"/>
      <c r="L84" s="8"/>
      <c r="M84" s="7"/>
      <c r="N84" s="9" t="str">
        <f t="shared" si="5"/>
        <v/>
      </c>
      <c r="O84" s="20"/>
      <c r="Q84" s="606">
        <f t="shared" si="6"/>
        <v>0</v>
      </c>
      <c r="R84" s="606">
        <f t="shared" si="7"/>
        <v>0</v>
      </c>
    </row>
    <row r="85" spans="1:18">
      <c r="A85" s="563"/>
      <c r="B85" s="564"/>
      <c r="C85" s="568"/>
      <c r="D85" s="568"/>
      <c r="E85" s="3"/>
      <c r="F85" s="272"/>
      <c r="G85" s="272"/>
      <c r="H85" s="8"/>
      <c r="I85" s="5"/>
      <c r="J85" s="409">
        <f t="shared" si="4"/>
        <v>0</v>
      </c>
      <c r="K85" s="2"/>
      <c r="L85" s="8"/>
      <c r="M85" s="7"/>
      <c r="N85" s="9" t="str">
        <f t="shared" si="5"/>
        <v/>
      </c>
      <c r="O85" s="20"/>
      <c r="Q85" s="606">
        <f t="shared" si="6"/>
        <v>0</v>
      </c>
      <c r="R85" s="606">
        <f t="shared" si="7"/>
        <v>0</v>
      </c>
    </row>
    <row r="86" spans="1:18">
      <c r="A86" s="563"/>
      <c r="B86" s="564"/>
      <c r="C86" s="568"/>
      <c r="D86" s="568"/>
      <c r="E86" s="3"/>
      <c r="F86" s="272"/>
      <c r="G86" s="272"/>
      <c r="H86" s="8"/>
      <c r="I86" s="5"/>
      <c r="J86" s="409">
        <f t="shared" si="4"/>
        <v>0</v>
      </c>
      <c r="K86" s="2"/>
      <c r="L86" s="8"/>
      <c r="M86" s="7"/>
      <c r="N86" s="9" t="str">
        <f t="shared" si="5"/>
        <v/>
      </c>
      <c r="O86" s="20"/>
      <c r="Q86" s="606">
        <f t="shared" si="6"/>
        <v>0</v>
      </c>
      <c r="R86" s="606">
        <f t="shared" si="7"/>
        <v>0</v>
      </c>
    </row>
    <row r="87" spans="1:18">
      <c r="A87" s="570"/>
      <c r="B87" s="571"/>
      <c r="C87" s="568"/>
      <c r="D87" s="568"/>
      <c r="E87" s="3"/>
      <c r="F87" s="272"/>
      <c r="G87" s="272"/>
      <c r="H87" s="8"/>
      <c r="I87" s="5"/>
      <c r="J87" s="409">
        <f t="shared" si="4"/>
        <v>0</v>
      </c>
      <c r="K87" s="2"/>
      <c r="L87" s="8"/>
      <c r="M87" s="7"/>
      <c r="N87" s="9" t="str">
        <f t="shared" si="5"/>
        <v/>
      </c>
      <c r="O87" s="20"/>
      <c r="Q87" s="606">
        <f t="shared" si="6"/>
        <v>0</v>
      </c>
      <c r="R87" s="606">
        <f t="shared" si="7"/>
        <v>0</v>
      </c>
    </row>
    <row r="88" spans="1:18">
      <c r="A88" s="563"/>
      <c r="B88" s="564"/>
      <c r="C88" s="568"/>
      <c r="D88" s="568"/>
      <c r="E88" s="3"/>
      <c r="F88" s="272"/>
      <c r="G88" s="272"/>
      <c r="H88" s="8"/>
      <c r="I88" s="5"/>
      <c r="J88" s="409">
        <f t="shared" si="4"/>
        <v>0</v>
      </c>
      <c r="K88" s="2"/>
      <c r="L88" s="8"/>
      <c r="M88" s="7"/>
      <c r="N88" s="9" t="str">
        <f t="shared" si="5"/>
        <v/>
      </c>
      <c r="O88" s="20"/>
      <c r="Q88" s="606">
        <f t="shared" si="6"/>
        <v>0</v>
      </c>
      <c r="R88" s="606">
        <f t="shared" si="7"/>
        <v>0</v>
      </c>
    </row>
    <row r="89" spans="1:18">
      <c r="A89" s="563"/>
      <c r="B89" s="564"/>
      <c r="C89" s="568"/>
      <c r="D89" s="568"/>
      <c r="E89" s="3"/>
      <c r="F89" s="272"/>
      <c r="G89" s="272"/>
      <c r="H89" s="8"/>
      <c r="I89" s="5"/>
      <c r="J89" s="409">
        <f t="shared" si="4"/>
        <v>0</v>
      </c>
      <c r="K89" s="2"/>
      <c r="L89" s="8"/>
      <c r="M89" s="7"/>
      <c r="N89" s="9" t="str">
        <f t="shared" si="5"/>
        <v/>
      </c>
      <c r="O89" s="20"/>
      <c r="Q89" s="606">
        <f t="shared" si="6"/>
        <v>0</v>
      </c>
      <c r="R89" s="606">
        <f t="shared" si="7"/>
        <v>0</v>
      </c>
    </row>
    <row r="90" spans="1:18">
      <c r="A90" s="563"/>
      <c r="B90" s="564"/>
      <c r="C90" s="568"/>
      <c r="D90" s="568"/>
      <c r="E90" s="3"/>
      <c r="F90" s="272"/>
      <c r="G90" s="272"/>
      <c r="H90" s="8"/>
      <c r="I90" s="5"/>
      <c r="J90" s="409">
        <f t="shared" si="4"/>
        <v>0</v>
      </c>
      <c r="K90" s="2"/>
      <c r="L90" s="8"/>
      <c r="M90" s="7"/>
      <c r="N90" s="9" t="str">
        <f t="shared" si="5"/>
        <v/>
      </c>
      <c r="O90" s="20"/>
      <c r="Q90" s="606">
        <f t="shared" si="6"/>
        <v>0</v>
      </c>
      <c r="R90" s="606">
        <f t="shared" si="7"/>
        <v>0</v>
      </c>
    </row>
    <row r="91" spans="1:18">
      <c r="A91" s="563"/>
      <c r="B91" s="564"/>
      <c r="C91" s="568"/>
      <c r="D91" s="568"/>
      <c r="E91" s="3"/>
      <c r="F91" s="272"/>
      <c r="G91" s="272"/>
      <c r="H91" s="8"/>
      <c r="I91" s="5"/>
      <c r="J91" s="409">
        <f t="shared" si="4"/>
        <v>0</v>
      </c>
      <c r="K91" s="2"/>
      <c r="L91" s="8"/>
      <c r="M91" s="7"/>
      <c r="N91" s="9" t="str">
        <f t="shared" si="5"/>
        <v/>
      </c>
      <c r="O91" s="20"/>
      <c r="Q91" s="606">
        <f t="shared" si="6"/>
        <v>0</v>
      </c>
      <c r="R91" s="606">
        <f t="shared" si="7"/>
        <v>0</v>
      </c>
    </row>
    <row r="92" spans="1:18">
      <c r="A92" s="563"/>
      <c r="B92" s="564"/>
      <c r="C92" s="568"/>
      <c r="D92" s="568"/>
      <c r="E92" s="3"/>
      <c r="F92" s="272"/>
      <c r="G92" s="272"/>
      <c r="H92" s="8"/>
      <c r="I92" s="5"/>
      <c r="J92" s="409">
        <f t="shared" si="4"/>
        <v>0</v>
      </c>
      <c r="K92" s="2"/>
      <c r="L92" s="8"/>
      <c r="M92" s="7"/>
      <c r="N92" s="9" t="str">
        <f t="shared" si="5"/>
        <v/>
      </c>
      <c r="O92" s="20"/>
      <c r="Q92" s="606">
        <f t="shared" si="6"/>
        <v>0</v>
      </c>
      <c r="R92" s="606">
        <f t="shared" si="7"/>
        <v>0</v>
      </c>
    </row>
    <row r="93" spans="1:18">
      <c r="A93" s="563"/>
      <c r="B93" s="564"/>
      <c r="C93" s="568"/>
      <c r="D93" s="568"/>
      <c r="E93" s="3"/>
      <c r="F93" s="272"/>
      <c r="G93" s="272"/>
      <c r="H93" s="8"/>
      <c r="I93" s="5"/>
      <c r="J93" s="409">
        <f t="shared" si="4"/>
        <v>0</v>
      </c>
      <c r="K93" s="2"/>
      <c r="L93" s="8"/>
      <c r="M93" s="7"/>
      <c r="N93" s="9" t="str">
        <f t="shared" si="5"/>
        <v/>
      </c>
      <c r="O93" s="20"/>
      <c r="Q93" s="606">
        <f t="shared" si="6"/>
        <v>0</v>
      </c>
      <c r="R93" s="606">
        <f t="shared" si="7"/>
        <v>0</v>
      </c>
    </row>
    <row r="94" spans="1:18">
      <c r="A94" s="563"/>
      <c r="B94" s="564"/>
      <c r="C94" s="568"/>
      <c r="D94" s="568"/>
      <c r="E94" s="3"/>
      <c r="F94" s="272"/>
      <c r="G94" s="272"/>
      <c r="H94" s="8"/>
      <c r="I94" s="5"/>
      <c r="J94" s="409">
        <f t="shared" si="4"/>
        <v>0</v>
      </c>
      <c r="K94" s="2"/>
      <c r="L94" s="8"/>
      <c r="M94" s="7"/>
      <c r="N94" s="9" t="str">
        <f t="shared" si="5"/>
        <v/>
      </c>
      <c r="O94" s="20"/>
      <c r="Q94" s="606">
        <f t="shared" si="6"/>
        <v>0</v>
      </c>
      <c r="R94" s="606">
        <f t="shared" si="7"/>
        <v>0</v>
      </c>
    </row>
    <row r="95" spans="1:18">
      <c r="A95" s="563"/>
      <c r="B95" s="564"/>
      <c r="C95" s="568"/>
      <c r="D95" s="568"/>
      <c r="E95" s="3"/>
      <c r="F95" s="272"/>
      <c r="G95" s="272"/>
      <c r="H95" s="8"/>
      <c r="I95" s="5"/>
      <c r="J95" s="409">
        <f t="shared" si="4"/>
        <v>0</v>
      </c>
      <c r="K95" s="2"/>
      <c r="L95" s="8"/>
      <c r="M95" s="7"/>
      <c r="N95" s="9" t="str">
        <f t="shared" si="5"/>
        <v/>
      </c>
      <c r="O95" s="20"/>
      <c r="Q95" s="606">
        <f t="shared" si="6"/>
        <v>0</v>
      </c>
      <c r="R95" s="606">
        <f t="shared" si="7"/>
        <v>0</v>
      </c>
    </row>
    <row r="96" spans="1:18">
      <c r="A96" s="563"/>
      <c r="B96" s="564"/>
      <c r="C96" s="568"/>
      <c r="D96" s="568"/>
      <c r="E96" s="3"/>
      <c r="F96" s="272"/>
      <c r="G96" s="272"/>
      <c r="H96" s="8"/>
      <c r="I96" s="5"/>
      <c r="J96" s="409">
        <f t="shared" si="4"/>
        <v>0</v>
      </c>
      <c r="K96" s="2"/>
      <c r="L96" s="8"/>
      <c r="M96" s="7"/>
      <c r="N96" s="9" t="str">
        <f t="shared" si="5"/>
        <v/>
      </c>
      <c r="O96" s="20"/>
      <c r="Q96" s="606">
        <f t="shared" si="6"/>
        <v>0</v>
      </c>
      <c r="R96" s="606">
        <f t="shared" si="7"/>
        <v>0</v>
      </c>
    </row>
    <row r="97" spans="1:18">
      <c r="A97" s="563"/>
      <c r="B97" s="564"/>
      <c r="C97" s="568"/>
      <c r="D97" s="568"/>
      <c r="E97" s="3"/>
      <c r="F97" s="272"/>
      <c r="G97" s="272"/>
      <c r="H97" s="8"/>
      <c r="I97" s="5"/>
      <c r="J97" s="409">
        <f t="shared" si="4"/>
        <v>0</v>
      </c>
      <c r="K97" s="2"/>
      <c r="L97" s="8"/>
      <c r="M97" s="7"/>
      <c r="N97" s="9" t="str">
        <f t="shared" si="5"/>
        <v/>
      </c>
      <c r="O97" s="20"/>
      <c r="Q97" s="606">
        <f t="shared" si="6"/>
        <v>0</v>
      </c>
      <c r="R97" s="606">
        <f t="shared" si="7"/>
        <v>0</v>
      </c>
    </row>
    <row r="98" spans="1:18">
      <c r="A98" s="563"/>
      <c r="B98" s="564"/>
      <c r="C98" s="568"/>
      <c r="D98" s="568"/>
      <c r="E98" s="3"/>
      <c r="F98" s="272"/>
      <c r="G98" s="272"/>
      <c r="H98" s="8"/>
      <c r="I98" s="5"/>
      <c r="J98" s="409">
        <f t="shared" si="4"/>
        <v>0</v>
      </c>
      <c r="K98" s="2"/>
      <c r="L98" s="8"/>
      <c r="M98" s="7"/>
      <c r="N98" s="9" t="str">
        <f t="shared" si="5"/>
        <v/>
      </c>
      <c r="O98" s="20"/>
      <c r="Q98" s="606">
        <f t="shared" si="6"/>
        <v>0</v>
      </c>
      <c r="R98" s="606">
        <f t="shared" si="7"/>
        <v>0</v>
      </c>
    </row>
    <row r="99" spans="1:18">
      <c r="A99" s="563"/>
      <c r="B99" s="564"/>
      <c r="C99" s="568"/>
      <c r="D99" s="568"/>
      <c r="E99" s="3"/>
      <c r="F99" s="272"/>
      <c r="G99" s="272"/>
      <c r="H99" s="8"/>
      <c r="I99" s="5"/>
      <c r="J99" s="409">
        <f t="shared" si="4"/>
        <v>0</v>
      </c>
      <c r="K99" s="2"/>
      <c r="L99" s="8"/>
      <c r="M99" s="7"/>
      <c r="N99" s="9" t="str">
        <f t="shared" si="5"/>
        <v/>
      </c>
      <c r="O99" s="20"/>
      <c r="Q99" s="606">
        <f t="shared" si="6"/>
        <v>0</v>
      </c>
      <c r="R99" s="606">
        <f t="shared" si="7"/>
        <v>0</v>
      </c>
    </row>
    <row r="100" spans="1:18">
      <c r="A100" s="563"/>
      <c r="B100" s="564"/>
      <c r="C100" s="568"/>
      <c r="D100" s="568"/>
      <c r="E100" s="3"/>
      <c r="F100" s="272"/>
      <c r="G100" s="272"/>
      <c r="H100" s="8"/>
      <c r="I100" s="5"/>
      <c r="J100" s="409">
        <f t="shared" si="4"/>
        <v>0</v>
      </c>
      <c r="K100" s="2"/>
      <c r="L100" s="8"/>
      <c r="M100" s="7"/>
      <c r="N100" s="9" t="str">
        <f t="shared" si="5"/>
        <v/>
      </c>
      <c r="O100" s="20"/>
      <c r="Q100" s="606">
        <f t="shared" si="6"/>
        <v>0</v>
      </c>
      <c r="R100" s="606">
        <f t="shared" si="7"/>
        <v>0</v>
      </c>
    </row>
    <row r="101" spans="1:18">
      <c r="A101" s="563"/>
      <c r="B101" s="564"/>
      <c r="C101" s="568"/>
      <c r="D101" s="568"/>
      <c r="E101" s="3"/>
      <c r="F101" s="272"/>
      <c r="G101" s="272"/>
      <c r="H101" s="8"/>
      <c r="I101" s="5"/>
      <c r="J101" s="409">
        <f t="shared" si="4"/>
        <v>0</v>
      </c>
      <c r="K101" s="2"/>
      <c r="L101" s="8"/>
      <c r="M101" s="7"/>
      <c r="N101" s="9" t="str">
        <f t="shared" si="5"/>
        <v/>
      </c>
      <c r="O101" s="20"/>
      <c r="Q101" s="606">
        <f t="shared" si="6"/>
        <v>0</v>
      </c>
      <c r="R101" s="606">
        <f t="shared" si="7"/>
        <v>0</v>
      </c>
    </row>
    <row r="102" spans="1:18">
      <c r="A102" s="563"/>
      <c r="B102" s="564"/>
      <c r="C102" s="568"/>
      <c r="D102" s="568"/>
      <c r="E102" s="3"/>
      <c r="F102" s="272"/>
      <c r="G102" s="272"/>
      <c r="H102" s="8"/>
      <c r="I102" s="5"/>
      <c r="J102" s="409">
        <f t="shared" si="4"/>
        <v>0</v>
      </c>
      <c r="K102" s="2"/>
      <c r="L102" s="8"/>
      <c r="M102" s="7"/>
      <c r="N102" s="9" t="str">
        <f t="shared" si="5"/>
        <v/>
      </c>
      <c r="O102" s="20"/>
      <c r="Q102" s="606">
        <f t="shared" si="6"/>
        <v>0</v>
      </c>
      <c r="R102" s="606">
        <f t="shared" si="7"/>
        <v>0</v>
      </c>
    </row>
    <row r="103" spans="1:18">
      <c r="A103" s="563"/>
      <c r="B103" s="564"/>
      <c r="C103" s="568"/>
      <c r="D103" s="568"/>
      <c r="E103" s="3"/>
      <c r="F103" s="272"/>
      <c r="G103" s="272"/>
      <c r="H103" s="8"/>
      <c r="I103" s="5"/>
      <c r="J103" s="409">
        <f t="shared" si="4"/>
        <v>0</v>
      </c>
      <c r="K103" s="2"/>
      <c r="L103" s="8"/>
      <c r="M103" s="7"/>
      <c r="N103" s="9" t="str">
        <f t="shared" si="5"/>
        <v/>
      </c>
      <c r="O103" s="20"/>
      <c r="Q103" s="606">
        <f t="shared" si="6"/>
        <v>0</v>
      </c>
      <c r="R103" s="606">
        <f t="shared" si="7"/>
        <v>0</v>
      </c>
    </row>
    <row r="104" spans="1:18">
      <c r="A104" s="563"/>
      <c r="B104" s="564"/>
      <c r="C104" s="568"/>
      <c r="D104" s="568"/>
      <c r="E104" s="3"/>
      <c r="F104" s="272"/>
      <c r="G104" s="272"/>
      <c r="H104" s="8"/>
      <c r="I104" s="5"/>
      <c r="J104" s="409">
        <f t="shared" si="4"/>
        <v>0</v>
      </c>
      <c r="K104" s="2"/>
      <c r="L104" s="8"/>
      <c r="M104" s="7"/>
      <c r="N104" s="9" t="str">
        <f t="shared" si="5"/>
        <v/>
      </c>
      <c r="O104" s="20"/>
      <c r="Q104" s="606">
        <f t="shared" si="6"/>
        <v>0</v>
      </c>
      <c r="R104" s="606">
        <f t="shared" si="7"/>
        <v>0</v>
      </c>
    </row>
    <row r="105" spans="1:18">
      <c r="A105" s="563"/>
      <c r="B105" s="564"/>
      <c r="C105" s="568"/>
      <c r="D105" s="568"/>
      <c r="E105" s="3"/>
      <c r="F105" s="272"/>
      <c r="G105" s="272"/>
      <c r="H105" s="8"/>
      <c r="I105" s="5"/>
      <c r="J105" s="409">
        <f t="shared" si="4"/>
        <v>0</v>
      </c>
      <c r="K105" s="2"/>
      <c r="L105" s="8"/>
      <c r="M105" s="7"/>
      <c r="N105" s="9" t="str">
        <f t="shared" si="5"/>
        <v/>
      </c>
      <c r="O105" s="20"/>
      <c r="Q105" s="606">
        <f t="shared" si="6"/>
        <v>0</v>
      </c>
      <c r="R105" s="606">
        <f t="shared" si="7"/>
        <v>0</v>
      </c>
    </row>
    <row r="106" spans="1:18">
      <c r="A106" s="563"/>
      <c r="B106" s="564"/>
      <c r="C106" s="568"/>
      <c r="D106" s="568"/>
      <c r="E106" s="3"/>
      <c r="F106" s="272"/>
      <c r="G106" s="272"/>
      <c r="H106" s="8"/>
      <c r="I106" s="5"/>
      <c r="J106" s="409">
        <f t="shared" si="4"/>
        <v>0</v>
      </c>
      <c r="K106" s="2"/>
      <c r="L106" s="8"/>
      <c r="M106" s="7"/>
      <c r="N106" s="9" t="str">
        <f t="shared" si="5"/>
        <v/>
      </c>
      <c r="O106" s="20"/>
      <c r="Q106" s="606">
        <f t="shared" si="6"/>
        <v>0</v>
      </c>
      <c r="R106" s="606">
        <f t="shared" si="7"/>
        <v>0</v>
      </c>
    </row>
    <row r="107" spans="1:18">
      <c r="A107" s="563"/>
      <c r="B107" s="564"/>
      <c r="C107" s="568"/>
      <c r="D107" s="568"/>
      <c r="E107" s="3"/>
      <c r="F107" s="272"/>
      <c r="G107" s="272"/>
      <c r="H107" s="8"/>
      <c r="I107" s="5"/>
      <c r="J107" s="409">
        <f t="shared" si="4"/>
        <v>0</v>
      </c>
      <c r="K107" s="2"/>
      <c r="L107" s="8"/>
      <c r="M107" s="7"/>
      <c r="N107" s="9" t="str">
        <f t="shared" si="5"/>
        <v/>
      </c>
      <c r="O107" s="20"/>
      <c r="Q107" s="606">
        <f t="shared" si="6"/>
        <v>0</v>
      </c>
      <c r="R107" s="606">
        <f t="shared" si="7"/>
        <v>0</v>
      </c>
    </row>
    <row r="108" spans="1:18">
      <c r="A108" s="563"/>
      <c r="B108" s="564"/>
      <c r="C108" s="568"/>
      <c r="D108" s="568"/>
      <c r="E108" s="3"/>
      <c r="F108" s="272"/>
      <c r="G108" s="272"/>
      <c r="H108" s="8"/>
      <c r="I108" s="5"/>
      <c r="J108" s="409">
        <f t="shared" si="4"/>
        <v>0</v>
      </c>
      <c r="K108" s="2"/>
      <c r="L108" s="8"/>
      <c r="M108" s="7"/>
      <c r="N108" s="9" t="str">
        <f t="shared" si="5"/>
        <v/>
      </c>
      <c r="O108" s="20"/>
      <c r="Q108" s="606">
        <f t="shared" si="6"/>
        <v>0</v>
      </c>
      <c r="R108" s="606">
        <f t="shared" si="7"/>
        <v>0</v>
      </c>
    </row>
    <row r="109" spans="1:18">
      <c r="A109" s="563"/>
      <c r="B109" s="564"/>
      <c r="C109" s="568"/>
      <c r="D109" s="568"/>
      <c r="E109" s="3"/>
      <c r="F109" s="272"/>
      <c r="G109" s="272"/>
      <c r="H109" s="8"/>
      <c r="I109" s="5"/>
      <c r="J109" s="409">
        <f t="shared" si="4"/>
        <v>0</v>
      </c>
      <c r="K109" s="2"/>
      <c r="L109" s="8"/>
      <c r="M109" s="7"/>
      <c r="N109" s="9" t="str">
        <f t="shared" si="5"/>
        <v/>
      </c>
      <c r="O109" s="20"/>
      <c r="Q109" s="606">
        <f t="shared" si="6"/>
        <v>0</v>
      </c>
      <c r="R109" s="606">
        <f t="shared" si="7"/>
        <v>0</v>
      </c>
    </row>
    <row r="110" spans="1:18">
      <c r="A110" s="563"/>
      <c r="B110" s="564"/>
      <c r="C110" s="568"/>
      <c r="D110" s="568"/>
      <c r="E110" s="3"/>
      <c r="F110" s="272"/>
      <c r="G110" s="272"/>
      <c r="H110" s="8"/>
      <c r="I110" s="5"/>
      <c r="J110" s="409">
        <f t="shared" si="4"/>
        <v>0</v>
      </c>
      <c r="K110" s="2"/>
      <c r="L110" s="8"/>
      <c r="M110" s="7"/>
      <c r="N110" s="9" t="str">
        <f t="shared" si="5"/>
        <v/>
      </c>
      <c r="O110" s="20"/>
      <c r="Q110" s="606">
        <f t="shared" si="6"/>
        <v>0</v>
      </c>
      <c r="R110" s="606">
        <f t="shared" si="7"/>
        <v>0</v>
      </c>
    </row>
    <row r="111" spans="1:18">
      <c r="A111" s="563"/>
      <c r="B111" s="564"/>
      <c r="C111" s="568"/>
      <c r="D111" s="568"/>
      <c r="E111" s="3"/>
      <c r="F111" s="272"/>
      <c r="G111" s="272"/>
      <c r="H111" s="8"/>
      <c r="I111" s="5"/>
      <c r="J111" s="409">
        <f t="shared" si="4"/>
        <v>0</v>
      </c>
      <c r="K111" s="2"/>
      <c r="L111" s="8"/>
      <c r="M111" s="7"/>
      <c r="N111" s="9" t="str">
        <f t="shared" si="5"/>
        <v/>
      </c>
      <c r="O111" s="20"/>
      <c r="Q111" s="606">
        <f t="shared" si="6"/>
        <v>0</v>
      </c>
      <c r="R111" s="606">
        <f t="shared" si="7"/>
        <v>0</v>
      </c>
    </row>
    <row r="112" spans="1:18">
      <c r="A112" s="563"/>
      <c r="B112" s="564"/>
      <c r="C112" s="568"/>
      <c r="D112" s="568"/>
      <c r="E112" s="3"/>
      <c r="F112" s="272"/>
      <c r="G112" s="272"/>
      <c r="H112" s="8"/>
      <c r="I112" s="5"/>
      <c r="J112" s="409">
        <f t="shared" si="4"/>
        <v>0</v>
      </c>
      <c r="K112" s="2"/>
      <c r="L112" s="8"/>
      <c r="M112" s="7"/>
      <c r="N112" s="9" t="str">
        <f t="shared" si="5"/>
        <v/>
      </c>
      <c r="O112" s="20"/>
      <c r="Q112" s="606">
        <f t="shared" si="6"/>
        <v>0</v>
      </c>
      <c r="R112" s="606">
        <f t="shared" si="7"/>
        <v>0</v>
      </c>
    </row>
    <row r="113" spans="1:18">
      <c r="A113" s="563"/>
      <c r="B113" s="564"/>
      <c r="C113" s="568"/>
      <c r="D113" s="568"/>
      <c r="E113" s="3"/>
      <c r="F113" s="272"/>
      <c r="G113" s="272"/>
      <c r="H113" s="8"/>
      <c r="I113" s="5"/>
      <c r="J113" s="409">
        <f t="shared" si="4"/>
        <v>0</v>
      </c>
      <c r="K113" s="2"/>
      <c r="L113" s="8"/>
      <c r="M113" s="7"/>
      <c r="N113" s="9" t="str">
        <f t="shared" si="5"/>
        <v/>
      </c>
      <c r="O113" s="20"/>
      <c r="Q113" s="606">
        <f t="shared" si="6"/>
        <v>0</v>
      </c>
      <c r="R113" s="606">
        <f t="shared" si="7"/>
        <v>0</v>
      </c>
    </row>
    <row r="114" spans="1:18">
      <c r="A114" s="563"/>
      <c r="B114" s="564"/>
      <c r="C114" s="568"/>
      <c r="D114" s="568"/>
      <c r="E114" s="3"/>
      <c r="F114" s="272"/>
      <c r="G114" s="272"/>
      <c r="H114" s="8"/>
      <c r="I114" s="5"/>
      <c r="J114" s="409">
        <f t="shared" si="4"/>
        <v>0</v>
      </c>
      <c r="K114" s="2"/>
      <c r="L114" s="8"/>
      <c r="M114" s="7"/>
      <c r="N114" s="9" t="str">
        <f t="shared" si="5"/>
        <v/>
      </c>
      <c r="O114" s="20"/>
      <c r="Q114" s="606">
        <f t="shared" si="6"/>
        <v>0</v>
      </c>
      <c r="R114" s="606">
        <f t="shared" si="7"/>
        <v>0</v>
      </c>
    </row>
    <row r="115" spans="1:18">
      <c r="A115" s="563"/>
      <c r="B115" s="564"/>
      <c r="C115" s="568"/>
      <c r="D115" s="568"/>
      <c r="E115" s="3"/>
      <c r="F115" s="272"/>
      <c r="G115" s="272"/>
      <c r="H115" s="8"/>
      <c r="I115" s="5"/>
      <c r="J115" s="409">
        <f t="shared" si="4"/>
        <v>0</v>
      </c>
      <c r="K115" s="2"/>
      <c r="L115" s="8"/>
      <c r="M115" s="7"/>
      <c r="N115" s="9" t="str">
        <f t="shared" si="5"/>
        <v/>
      </c>
      <c r="O115" s="20"/>
      <c r="Q115" s="606">
        <f t="shared" si="6"/>
        <v>0</v>
      </c>
      <c r="R115" s="606">
        <f t="shared" si="7"/>
        <v>0</v>
      </c>
    </row>
    <row r="116" spans="1:18">
      <c r="A116" s="563"/>
      <c r="B116" s="564"/>
      <c r="C116" s="568"/>
      <c r="D116" s="568"/>
      <c r="E116" s="3"/>
      <c r="F116" s="272"/>
      <c r="G116" s="272"/>
      <c r="H116" s="8"/>
      <c r="I116" s="5"/>
      <c r="J116" s="409">
        <f t="shared" si="4"/>
        <v>0</v>
      </c>
      <c r="K116" s="2"/>
      <c r="L116" s="8"/>
      <c r="M116" s="7"/>
      <c r="N116" s="9" t="str">
        <f t="shared" si="5"/>
        <v/>
      </c>
      <c r="O116" s="20"/>
      <c r="Q116" s="606">
        <f t="shared" si="6"/>
        <v>0</v>
      </c>
      <c r="R116" s="606">
        <f t="shared" si="7"/>
        <v>0</v>
      </c>
    </row>
    <row r="117" spans="1:18">
      <c r="A117" s="563"/>
      <c r="B117" s="564"/>
      <c r="C117" s="568"/>
      <c r="D117" s="568"/>
      <c r="E117" s="3"/>
      <c r="F117" s="272"/>
      <c r="G117" s="272"/>
      <c r="H117" s="8"/>
      <c r="I117" s="5"/>
      <c r="J117" s="409">
        <f t="shared" si="4"/>
        <v>0</v>
      </c>
      <c r="K117" s="2"/>
      <c r="L117" s="8"/>
      <c r="M117" s="7"/>
      <c r="N117" s="9" t="str">
        <f t="shared" si="5"/>
        <v/>
      </c>
      <c r="O117" s="20"/>
      <c r="Q117" s="606">
        <f t="shared" si="6"/>
        <v>0</v>
      </c>
      <c r="R117" s="606">
        <f t="shared" si="7"/>
        <v>0</v>
      </c>
    </row>
    <row r="118" spans="1:18">
      <c r="A118" s="563"/>
      <c r="B118" s="564"/>
      <c r="C118" s="568"/>
      <c r="D118" s="568"/>
      <c r="E118" s="3"/>
      <c r="F118" s="272"/>
      <c r="G118" s="272"/>
      <c r="H118" s="8"/>
      <c r="I118" s="5"/>
      <c r="J118" s="409">
        <f t="shared" si="4"/>
        <v>0</v>
      </c>
      <c r="K118" s="2"/>
      <c r="L118" s="8"/>
      <c r="M118" s="7"/>
      <c r="N118" s="9" t="str">
        <f t="shared" si="5"/>
        <v/>
      </c>
      <c r="O118" s="20"/>
      <c r="Q118" s="606">
        <f t="shared" si="6"/>
        <v>0</v>
      </c>
      <c r="R118" s="606">
        <f t="shared" si="7"/>
        <v>0</v>
      </c>
    </row>
    <row r="119" spans="1:18">
      <c r="A119" s="563"/>
      <c r="B119" s="564"/>
      <c r="C119" s="568"/>
      <c r="D119" s="568"/>
      <c r="E119" s="3"/>
      <c r="F119" s="272"/>
      <c r="G119" s="272"/>
      <c r="H119" s="8"/>
      <c r="I119" s="5"/>
      <c r="J119" s="409">
        <f t="shared" si="4"/>
        <v>0</v>
      </c>
      <c r="K119" s="2"/>
      <c r="L119" s="8"/>
      <c r="M119" s="7"/>
      <c r="N119" s="9" t="str">
        <f t="shared" si="5"/>
        <v/>
      </c>
      <c r="O119" s="20"/>
      <c r="Q119" s="606">
        <f t="shared" si="6"/>
        <v>0</v>
      </c>
      <c r="R119" s="606">
        <f t="shared" si="7"/>
        <v>0</v>
      </c>
    </row>
    <row r="120" spans="1:18">
      <c r="A120" s="563"/>
      <c r="B120" s="564"/>
      <c r="C120" s="568"/>
      <c r="D120" s="568"/>
      <c r="E120" s="3"/>
      <c r="F120" s="272"/>
      <c r="G120" s="272"/>
      <c r="H120" s="8"/>
      <c r="I120" s="5"/>
      <c r="J120" s="409">
        <f t="shared" si="4"/>
        <v>0</v>
      </c>
      <c r="K120" s="2"/>
      <c r="L120" s="8"/>
      <c r="M120" s="7"/>
      <c r="N120" s="9" t="str">
        <f t="shared" si="5"/>
        <v/>
      </c>
      <c r="O120" s="20"/>
      <c r="Q120" s="606">
        <f t="shared" si="6"/>
        <v>0</v>
      </c>
      <c r="R120" s="606">
        <f t="shared" si="7"/>
        <v>0</v>
      </c>
    </row>
    <row r="121" spans="1:18">
      <c r="A121" s="563"/>
      <c r="B121" s="564"/>
      <c r="C121" s="568"/>
      <c r="D121" s="568"/>
      <c r="E121" s="3"/>
      <c r="F121" s="272"/>
      <c r="G121" s="272"/>
      <c r="H121" s="8"/>
      <c r="I121" s="5"/>
      <c r="J121" s="409">
        <f t="shared" si="4"/>
        <v>0</v>
      </c>
      <c r="K121" s="2"/>
      <c r="L121" s="8"/>
      <c r="M121" s="7"/>
      <c r="N121" s="9" t="str">
        <f t="shared" si="5"/>
        <v/>
      </c>
      <c r="O121" s="20"/>
      <c r="Q121" s="606">
        <f t="shared" si="6"/>
        <v>0</v>
      </c>
      <c r="R121" s="606">
        <f t="shared" si="7"/>
        <v>0</v>
      </c>
    </row>
    <row r="122" spans="1:18">
      <c r="A122" s="563"/>
      <c r="B122" s="564"/>
      <c r="C122" s="568"/>
      <c r="D122" s="568"/>
      <c r="E122" s="3"/>
      <c r="F122" s="272"/>
      <c r="G122" s="272"/>
      <c r="H122" s="8"/>
      <c r="I122" s="5"/>
      <c r="J122" s="409">
        <f t="shared" si="4"/>
        <v>0</v>
      </c>
      <c r="K122" s="2"/>
      <c r="L122" s="8"/>
      <c r="M122" s="7"/>
      <c r="N122" s="9" t="str">
        <f t="shared" si="5"/>
        <v/>
      </c>
      <c r="O122" s="20"/>
      <c r="Q122" s="606">
        <f t="shared" si="6"/>
        <v>0</v>
      </c>
      <c r="R122" s="606">
        <f t="shared" si="7"/>
        <v>0</v>
      </c>
    </row>
    <row r="123" spans="1:18">
      <c r="A123" s="563"/>
      <c r="B123" s="564"/>
      <c r="C123" s="568"/>
      <c r="D123" s="568"/>
      <c r="E123" s="3"/>
      <c r="F123" s="272"/>
      <c r="G123" s="272"/>
      <c r="H123" s="8"/>
      <c r="I123" s="5"/>
      <c r="J123" s="409">
        <f t="shared" si="4"/>
        <v>0</v>
      </c>
      <c r="K123" s="2"/>
      <c r="L123" s="8"/>
      <c r="M123" s="7"/>
      <c r="N123" s="9" t="str">
        <f t="shared" si="5"/>
        <v/>
      </c>
      <c r="O123" s="20"/>
      <c r="Q123" s="606">
        <f t="shared" si="6"/>
        <v>0</v>
      </c>
      <c r="R123" s="606">
        <f t="shared" si="7"/>
        <v>0</v>
      </c>
    </row>
    <row r="124" spans="1:18">
      <c r="A124" s="563"/>
      <c r="B124" s="564"/>
      <c r="C124" s="568"/>
      <c r="D124" s="568"/>
      <c r="E124" s="3"/>
      <c r="F124" s="272"/>
      <c r="G124" s="272"/>
      <c r="H124" s="8"/>
      <c r="I124" s="5"/>
      <c r="J124" s="409">
        <f t="shared" si="4"/>
        <v>0</v>
      </c>
      <c r="K124" s="2"/>
      <c r="L124" s="8"/>
      <c r="M124" s="7"/>
      <c r="N124" s="9" t="str">
        <f t="shared" si="5"/>
        <v/>
      </c>
      <c r="O124" s="20"/>
      <c r="Q124" s="606">
        <f t="shared" si="6"/>
        <v>0</v>
      </c>
      <c r="R124" s="606">
        <f t="shared" si="7"/>
        <v>0</v>
      </c>
    </row>
    <row r="125" spans="1:18">
      <c r="A125" s="563"/>
      <c r="B125" s="564"/>
      <c r="C125" s="568"/>
      <c r="D125" s="568"/>
      <c r="E125" s="3"/>
      <c r="F125" s="272"/>
      <c r="G125" s="272"/>
      <c r="H125" s="8"/>
      <c r="I125" s="5"/>
      <c r="J125" s="409">
        <f t="shared" si="4"/>
        <v>0</v>
      </c>
      <c r="K125" s="2"/>
      <c r="L125" s="8"/>
      <c r="M125" s="7"/>
      <c r="N125" s="9" t="str">
        <f t="shared" si="5"/>
        <v/>
      </c>
      <c r="O125" s="20"/>
      <c r="Q125" s="606">
        <f t="shared" si="6"/>
        <v>0</v>
      </c>
      <c r="R125" s="606">
        <f t="shared" si="7"/>
        <v>0</v>
      </c>
    </row>
    <row r="126" spans="1:18">
      <c r="A126" s="563"/>
      <c r="B126" s="564"/>
      <c r="C126" s="568"/>
      <c r="D126" s="568"/>
      <c r="E126" s="3"/>
      <c r="F126" s="272"/>
      <c r="G126" s="272"/>
      <c r="H126" s="8"/>
      <c r="I126" s="5"/>
      <c r="J126" s="409">
        <f t="shared" si="4"/>
        <v>0</v>
      </c>
      <c r="K126" s="2"/>
      <c r="L126" s="8"/>
      <c r="M126" s="7"/>
      <c r="N126" s="9" t="str">
        <f t="shared" si="5"/>
        <v/>
      </c>
      <c r="O126" s="20"/>
      <c r="Q126" s="606">
        <f t="shared" si="6"/>
        <v>0</v>
      </c>
      <c r="R126" s="606">
        <f t="shared" si="7"/>
        <v>0</v>
      </c>
    </row>
    <row r="127" spans="1:18">
      <c r="A127" s="563"/>
      <c r="B127" s="564"/>
      <c r="C127" s="568"/>
      <c r="D127" s="568"/>
      <c r="E127" s="3"/>
      <c r="F127" s="272"/>
      <c r="G127" s="272"/>
      <c r="H127" s="8"/>
      <c r="I127" s="5"/>
      <c r="J127" s="409">
        <f t="shared" si="4"/>
        <v>0</v>
      </c>
      <c r="K127" s="2"/>
      <c r="L127" s="8"/>
      <c r="M127" s="7"/>
      <c r="N127" s="9" t="str">
        <f t="shared" si="5"/>
        <v/>
      </c>
      <c r="O127" s="20"/>
      <c r="Q127" s="606">
        <f t="shared" si="6"/>
        <v>0</v>
      </c>
      <c r="R127" s="606">
        <f t="shared" si="7"/>
        <v>0</v>
      </c>
    </row>
    <row r="128" spans="1:18">
      <c r="A128" s="563"/>
      <c r="B128" s="564"/>
      <c r="C128" s="568"/>
      <c r="D128" s="568"/>
      <c r="E128" s="3"/>
      <c r="F128" s="272"/>
      <c r="G128" s="272"/>
      <c r="H128" s="8"/>
      <c r="I128" s="5"/>
      <c r="J128" s="409">
        <f t="shared" si="4"/>
        <v>0</v>
      </c>
      <c r="K128" s="2"/>
      <c r="L128" s="8"/>
      <c r="M128" s="7"/>
      <c r="N128" s="9" t="str">
        <f t="shared" si="5"/>
        <v/>
      </c>
      <c r="O128" s="20"/>
      <c r="Q128" s="606">
        <f t="shared" si="6"/>
        <v>0</v>
      </c>
      <c r="R128" s="606">
        <f t="shared" si="7"/>
        <v>0</v>
      </c>
    </row>
    <row r="129" spans="1:18">
      <c r="A129" s="563"/>
      <c r="B129" s="564"/>
      <c r="C129" s="568"/>
      <c r="D129" s="568"/>
      <c r="E129" s="3"/>
      <c r="F129" s="272"/>
      <c r="G129" s="272"/>
      <c r="H129" s="8"/>
      <c r="I129" s="5"/>
      <c r="J129" s="409">
        <f t="shared" si="4"/>
        <v>0</v>
      </c>
      <c r="K129" s="2"/>
      <c r="L129" s="8"/>
      <c r="M129" s="7"/>
      <c r="N129" s="9" t="str">
        <f t="shared" si="5"/>
        <v/>
      </c>
      <c r="O129" s="20"/>
      <c r="Q129" s="606">
        <f t="shared" si="6"/>
        <v>0</v>
      </c>
      <c r="R129" s="606">
        <f t="shared" si="7"/>
        <v>0</v>
      </c>
    </row>
    <row r="130" spans="1:18">
      <c r="A130" s="563"/>
      <c r="B130" s="564"/>
      <c r="C130" s="568"/>
      <c r="D130" s="568"/>
      <c r="E130" s="3"/>
      <c r="F130" s="272"/>
      <c r="G130" s="272"/>
      <c r="H130" s="8"/>
      <c r="I130" s="5"/>
      <c r="J130" s="409">
        <f t="shared" si="4"/>
        <v>0</v>
      </c>
      <c r="K130" s="2"/>
      <c r="L130" s="8"/>
      <c r="M130" s="7"/>
      <c r="N130" s="9" t="str">
        <f t="shared" si="5"/>
        <v/>
      </c>
      <c r="O130" s="20"/>
      <c r="Q130" s="606">
        <f t="shared" si="6"/>
        <v>0</v>
      </c>
      <c r="R130" s="606">
        <f t="shared" si="7"/>
        <v>0</v>
      </c>
    </row>
    <row r="131" spans="1:18">
      <c r="A131" s="563"/>
      <c r="B131" s="564"/>
      <c r="C131" s="568"/>
      <c r="D131" s="568"/>
      <c r="E131" s="3"/>
      <c r="F131" s="272"/>
      <c r="G131" s="272"/>
      <c r="H131" s="8"/>
      <c r="I131" s="5"/>
      <c r="J131" s="409">
        <f t="shared" si="4"/>
        <v>0</v>
      </c>
      <c r="K131" s="2"/>
      <c r="L131" s="8"/>
      <c r="M131" s="7"/>
      <c r="N131" s="9" t="str">
        <f t="shared" si="5"/>
        <v/>
      </c>
      <c r="O131" s="20"/>
      <c r="Q131" s="606">
        <f t="shared" si="6"/>
        <v>0</v>
      </c>
      <c r="R131" s="606">
        <f t="shared" si="7"/>
        <v>0</v>
      </c>
    </row>
    <row r="132" spans="1:18">
      <c r="A132" s="563"/>
      <c r="B132" s="564"/>
      <c r="C132" s="568"/>
      <c r="D132" s="568"/>
      <c r="E132" s="3"/>
      <c r="F132" s="272"/>
      <c r="G132" s="272"/>
      <c r="H132" s="8"/>
      <c r="I132" s="5"/>
      <c r="J132" s="409">
        <f t="shared" si="4"/>
        <v>0</v>
      </c>
      <c r="K132" s="2"/>
      <c r="L132" s="8"/>
      <c r="M132" s="7"/>
      <c r="N132" s="9" t="str">
        <f t="shared" si="5"/>
        <v/>
      </c>
      <c r="O132" s="20"/>
      <c r="Q132" s="606">
        <f t="shared" si="6"/>
        <v>0</v>
      </c>
      <c r="R132" s="606">
        <f t="shared" si="7"/>
        <v>0</v>
      </c>
    </row>
    <row r="133" spans="1:18">
      <c r="A133" s="563"/>
      <c r="B133" s="564"/>
      <c r="C133" s="568"/>
      <c r="D133" s="568"/>
      <c r="E133" s="3"/>
      <c r="F133" s="272"/>
      <c r="G133" s="272"/>
      <c r="H133" s="8"/>
      <c r="I133" s="5"/>
      <c r="J133" s="409">
        <f t="shared" si="4"/>
        <v>0</v>
      </c>
      <c r="K133" s="2"/>
      <c r="L133" s="8"/>
      <c r="M133" s="7"/>
      <c r="N133" s="9" t="str">
        <f t="shared" si="5"/>
        <v/>
      </c>
      <c r="O133" s="20"/>
      <c r="Q133" s="606">
        <f t="shared" si="6"/>
        <v>0</v>
      </c>
      <c r="R133" s="606">
        <f t="shared" si="7"/>
        <v>0</v>
      </c>
    </row>
    <row r="134" spans="1:18">
      <c r="A134" s="563"/>
      <c r="B134" s="564"/>
      <c r="C134" s="568"/>
      <c r="D134" s="568"/>
      <c r="E134" s="3"/>
      <c r="F134" s="272"/>
      <c r="G134" s="272"/>
      <c r="H134" s="8"/>
      <c r="I134" s="5"/>
      <c r="J134" s="409">
        <f t="shared" ref="J134:J197" si="8">(+F134*G134+H134*I134)*E134</f>
        <v>0</v>
      </c>
      <c r="K134" s="2"/>
      <c r="L134" s="8"/>
      <c r="M134" s="7"/>
      <c r="N134" s="9" t="str">
        <f t="shared" ref="N134:N197" si="9">IF(K134=0,"",L134*M134*E134)</f>
        <v/>
      </c>
      <c r="O134" s="20"/>
      <c r="Q134" s="606">
        <f t="shared" ref="Q134:Q197" si="10">F134*G134*E134</f>
        <v>0</v>
      </c>
      <c r="R134" s="606">
        <f t="shared" ref="R134:R197" si="11">H134*E134*I134</f>
        <v>0</v>
      </c>
    </row>
    <row r="135" spans="1:18">
      <c r="A135" s="563"/>
      <c r="B135" s="564"/>
      <c r="C135" s="568"/>
      <c r="D135" s="568"/>
      <c r="E135" s="3"/>
      <c r="F135" s="272"/>
      <c r="G135" s="272"/>
      <c r="H135" s="8"/>
      <c r="I135" s="5"/>
      <c r="J135" s="409">
        <f t="shared" si="8"/>
        <v>0</v>
      </c>
      <c r="K135" s="2"/>
      <c r="L135" s="8"/>
      <c r="M135" s="7"/>
      <c r="N135" s="9" t="str">
        <f t="shared" si="9"/>
        <v/>
      </c>
      <c r="O135" s="20"/>
      <c r="Q135" s="606">
        <f t="shared" si="10"/>
        <v>0</v>
      </c>
      <c r="R135" s="606">
        <f t="shared" si="11"/>
        <v>0</v>
      </c>
    </row>
    <row r="136" spans="1:18">
      <c r="A136" s="563"/>
      <c r="B136" s="564"/>
      <c r="C136" s="568"/>
      <c r="D136" s="568"/>
      <c r="E136" s="3"/>
      <c r="F136" s="272"/>
      <c r="G136" s="272"/>
      <c r="H136" s="8"/>
      <c r="I136" s="5"/>
      <c r="J136" s="409">
        <f t="shared" si="8"/>
        <v>0</v>
      </c>
      <c r="K136" s="2"/>
      <c r="L136" s="8"/>
      <c r="M136" s="7"/>
      <c r="N136" s="9" t="str">
        <f t="shared" si="9"/>
        <v/>
      </c>
      <c r="O136" s="20"/>
      <c r="Q136" s="606">
        <f t="shared" si="10"/>
        <v>0</v>
      </c>
      <c r="R136" s="606">
        <f t="shared" si="11"/>
        <v>0</v>
      </c>
    </row>
    <row r="137" spans="1:18">
      <c r="A137" s="563"/>
      <c r="B137" s="564"/>
      <c r="C137" s="568"/>
      <c r="D137" s="568"/>
      <c r="E137" s="3"/>
      <c r="F137" s="272"/>
      <c r="G137" s="272"/>
      <c r="H137" s="8"/>
      <c r="I137" s="5"/>
      <c r="J137" s="409">
        <f t="shared" si="8"/>
        <v>0</v>
      </c>
      <c r="K137" s="2"/>
      <c r="L137" s="8"/>
      <c r="M137" s="7"/>
      <c r="N137" s="9" t="str">
        <f t="shared" si="9"/>
        <v/>
      </c>
      <c r="O137" s="20"/>
      <c r="Q137" s="606">
        <f t="shared" si="10"/>
        <v>0</v>
      </c>
      <c r="R137" s="606">
        <f t="shared" si="11"/>
        <v>0</v>
      </c>
    </row>
    <row r="138" spans="1:18">
      <c r="A138" s="563"/>
      <c r="B138" s="564"/>
      <c r="C138" s="568"/>
      <c r="D138" s="568"/>
      <c r="E138" s="3"/>
      <c r="F138" s="272"/>
      <c r="G138" s="272"/>
      <c r="H138" s="8"/>
      <c r="I138" s="5"/>
      <c r="J138" s="409">
        <f t="shared" si="8"/>
        <v>0</v>
      </c>
      <c r="K138" s="2"/>
      <c r="L138" s="8"/>
      <c r="M138" s="7"/>
      <c r="N138" s="9" t="str">
        <f t="shared" si="9"/>
        <v/>
      </c>
      <c r="O138" s="20"/>
      <c r="Q138" s="606">
        <f t="shared" si="10"/>
        <v>0</v>
      </c>
      <c r="R138" s="606">
        <f t="shared" si="11"/>
        <v>0</v>
      </c>
    </row>
    <row r="139" spans="1:18">
      <c r="A139" s="563"/>
      <c r="B139" s="564"/>
      <c r="C139" s="568"/>
      <c r="D139" s="568"/>
      <c r="E139" s="3"/>
      <c r="F139" s="272"/>
      <c r="G139" s="272"/>
      <c r="H139" s="8"/>
      <c r="I139" s="5"/>
      <c r="J139" s="409">
        <f t="shared" si="8"/>
        <v>0</v>
      </c>
      <c r="K139" s="2"/>
      <c r="L139" s="8"/>
      <c r="M139" s="7"/>
      <c r="N139" s="9" t="str">
        <f t="shared" si="9"/>
        <v/>
      </c>
      <c r="O139" s="20"/>
      <c r="Q139" s="606">
        <f t="shared" si="10"/>
        <v>0</v>
      </c>
      <c r="R139" s="606">
        <f t="shared" si="11"/>
        <v>0</v>
      </c>
    </row>
    <row r="140" spans="1:18">
      <c r="A140" s="563"/>
      <c r="B140" s="564"/>
      <c r="C140" s="568"/>
      <c r="D140" s="568"/>
      <c r="E140" s="3"/>
      <c r="F140" s="272"/>
      <c r="G140" s="272"/>
      <c r="H140" s="8"/>
      <c r="I140" s="5"/>
      <c r="J140" s="409">
        <f t="shared" si="8"/>
        <v>0</v>
      </c>
      <c r="K140" s="2"/>
      <c r="L140" s="8"/>
      <c r="M140" s="7"/>
      <c r="N140" s="9" t="str">
        <f t="shared" si="9"/>
        <v/>
      </c>
      <c r="O140" s="20"/>
      <c r="Q140" s="606">
        <f t="shared" si="10"/>
        <v>0</v>
      </c>
      <c r="R140" s="606">
        <f t="shared" si="11"/>
        <v>0</v>
      </c>
    </row>
    <row r="141" spans="1:18">
      <c r="A141" s="563"/>
      <c r="B141" s="564"/>
      <c r="C141" s="568"/>
      <c r="D141" s="568"/>
      <c r="E141" s="3"/>
      <c r="F141" s="272"/>
      <c r="G141" s="272"/>
      <c r="H141" s="8"/>
      <c r="I141" s="5"/>
      <c r="J141" s="409">
        <f t="shared" si="8"/>
        <v>0</v>
      </c>
      <c r="K141" s="2"/>
      <c r="L141" s="8"/>
      <c r="M141" s="7"/>
      <c r="N141" s="9" t="str">
        <f t="shared" si="9"/>
        <v/>
      </c>
      <c r="O141" s="20"/>
      <c r="Q141" s="606">
        <f t="shared" si="10"/>
        <v>0</v>
      </c>
      <c r="R141" s="606">
        <f t="shared" si="11"/>
        <v>0</v>
      </c>
    </row>
    <row r="142" spans="1:18">
      <c r="A142" s="563"/>
      <c r="B142" s="564"/>
      <c r="C142" s="568"/>
      <c r="D142" s="568"/>
      <c r="E142" s="3"/>
      <c r="F142" s="272"/>
      <c r="G142" s="272"/>
      <c r="H142" s="8"/>
      <c r="I142" s="5"/>
      <c r="J142" s="409">
        <f t="shared" si="8"/>
        <v>0</v>
      </c>
      <c r="K142" s="2"/>
      <c r="L142" s="8"/>
      <c r="M142" s="7"/>
      <c r="N142" s="9" t="str">
        <f t="shared" si="9"/>
        <v/>
      </c>
      <c r="O142" s="20"/>
      <c r="Q142" s="606">
        <f t="shared" si="10"/>
        <v>0</v>
      </c>
      <c r="R142" s="606">
        <f t="shared" si="11"/>
        <v>0</v>
      </c>
    </row>
    <row r="143" spans="1:18">
      <c r="A143" s="563"/>
      <c r="B143" s="564"/>
      <c r="C143" s="568"/>
      <c r="D143" s="568"/>
      <c r="E143" s="3"/>
      <c r="F143" s="272"/>
      <c r="G143" s="272"/>
      <c r="H143" s="8"/>
      <c r="I143" s="5"/>
      <c r="J143" s="409">
        <f t="shared" si="8"/>
        <v>0</v>
      </c>
      <c r="K143" s="2"/>
      <c r="L143" s="8"/>
      <c r="M143" s="7"/>
      <c r="N143" s="9" t="str">
        <f t="shared" si="9"/>
        <v/>
      </c>
      <c r="O143" s="20"/>
      <c r="Q143" s="606">
        <f t="shared" si="10"/>
        <v>0</v>
      </c>
      <c r="R143" s="606">
        <f t="shared" si="11"/>
        <v>0</v>
      </c>
    </row>
    <row r="144" spans="1:18">
      <c r="A144" s="563"/>
      <c r="B144" s="564"/>
      <c r="C144" s="568"/>
      <c r="D144" s="568"/>
      <c r="E144" s="3"/>
      <c r="F144" s="272"/>
      <c r="G144" s="272"/>
      <c r="H144" s="8"/>
      <c r="I144" s="5"/>
      <c r="J144" s="409">
        <f t="shared" si="8"/>
        <v>0</v>
      </c>
      <c r="K144" s="2"/>
      <c r="L144" s="8"/>
      <c r="M144" s="7"/>
      <c r="N144" s="9" t="str">
        <f t="shared" si="9"/>
        <v/>
      </c>
      <c r="O144" s="20"/>
      <c r="Q144" s="606">
        <f t="shared" si="10"/>
        <v>0</v>
      </c>
      <c r="R144" s="606">
        <f t="shared" si="11"/>
        <v>0</v>
      </c>
    </row>
    <row r="145" spans="1:18">
      <c r="A145" s="563"/>
      <c r="B145" s="564"/>
      <c r="C145" s="568"/>
      <c r="D145" s="568"/>
      <c r="E145" s="3"/>
      <c r="F145" s="272"/>
      <c r="G145" s="272"/>
      <c r="H145" s="8"/>
      <c r="I145" s="5"/>
      <c r="J145" s="409">
        <f t="shared" si="8"/>
        <v>0</v>
      </c>
      <c r="K145" s="2"/>
      <c r="L145" s="8"/>
      <c r="M145" s="7"/>
      <c r="N145" s="9" t="str">
        <f t="shared" si="9"/>
        <v/>
      </c>
      <c r="O145" s="20"/>
      <c r="Q145" s="606">
        <f t="shared" si="10"/>
        <v>0</v>
      </c>
      <c r="R145" s="606">
        <f t="shared" si="11"/>
        <v>0</v>
      </c>
    </row>
    <row r="146" spans="1:18">
      <c r="A146" s="563"/>
      <c r="B146" s="564"/>
      <c r="C146" s="568"/>
      <c r="D146" s="568"/>
      <c r="E146" s="3"/>
      <c r="F146" s="272"/>
      <c r="G146" s="272"/>
      <c r="H146" s="8"/>
      <c r="I146" s="5"/>
      <c r="J146" s="409">
        <f t="shared" si="8"/>
        <v>0</v>
      </c>
      <c r="K146" s="2"/>
      <c r="L146" s="8"/>
      <c r="M146" s="7"/>
      <c r="N146" s="9" t="str">
        <f t="shared" si="9"/>
        <v/>
      </c>
      <c r="O146" s="20"/>
      <c r="Q146" s="606">
        <f t="shared" si="10"/>
        <v>0</v>
      </c>
      <c r="R146" s="606">
        <f t="shared" si="11"/>
        <v>0</v>
      </c>
    </row>
    <row r="147" spans="1:18">
      <c r="A147" s="563"/>
      <c r="B147" s="564"/>
      <c r="C147" s="568"/>
      <c r="D147" s="568"/>
      <c r="E147" s="3"/>
      <c r="F147" s="272"/>
      <c r="G147" s="272"/>
      <c r="H147" s="8"/>
      <c r="I147" s="5"/>
      <c r="J147" s="409">
        <f t="shared" si="8"/>
        <v>0</v>
      </c>
      <c r="K147" s="2"/>
      <c r="L147" s="8"/>
      <c r="M147" s="7"/>
      <c r="N147" s="9" t="str">
        <f t="shared" si="9"/>
        <v/>
      </c>
      <c r="O147" s="20"/>
      <c r="Q147" s="606">
        <f t="shared" si="10"/>
        <v>0</v>
      </c>
      <c r="R147" s="606">
        <f t="shared" si="11"/>
        <v>0</v>
      </c>
    </row>
    <row r="148" spans="1:18">
      <c r="A148" s="563"/>
      <c r="B148" s="564"/>
      <c r="C148" s="568"/>
      <c r="D148" s="568"/>
      <c r="E148" s="3"/>
      <c r="F148" s="272"/>
      <c r="G148" s="272"/>
      <c r="H148" s="8"/>
      <c r="I148" s="5"/>
      <c r="J148" s="409">
        <f t="shared" si="8"/>
        <v>0</v>
      </c>
      <c r="K148" s="2"/>
      <c r="L148" s="8"/>
      <c r="M148" s="7"/>
      <c r="N148" s="9" t="str">
        <f t="shared" si="9"/>
        <v/>
      </c>
      <c r="O148" s="20"/>
      <c r="Q148" s="606">
        <f t="shared" si="10"/>
        <v>0</v>
      </c>
      <c r="R148" s="606">
        <f t="shared" si="11"/>
        <v>0</v>
      </c>
    </row>
    <row r="149" spans="1:18">
      <c r="A149" s="563"/>
      <c r="B149" s="564"/>
      <c r="C149" s="568"/>
      <c r="D149" s="568"/>
      <c r="E149" s="3"/>
      <c r="F149" s="272"/>
      <c r="G149" s="272"/>
      <c r="H149" s="8"/>
      <c r="I149" s="5"/>
      <c r="J149" s="409">
        <f t="shared" si="8"/>
        <v>0</v>
      </c>
      <c r="K149" s="2"/>
      <c r="L149" s="8"/>
      <c r="M149" s="7"/>
      <c r="N149" s="9" t="str">
        <f t="shared" si="9"/>
        <v/>
      </c>
      <c r="O149" s="20"/>
      <c r="Q149" s="606">
        <f t="shared" si="10"/>
        <v>0</v>
      </c>
      <c r="R149" s="606">
        <f t="shared" si="11"/>
        <v>0</v>
      </c>
    </row>
    <row r="150" spans="1:18">
      <c r="A150" s="563"/>
      <c r="B150" s="564"/>
      <c r="C150" s="568"/>
      <c r="D150" s="568"/>
      <c r="E150" s="3"/>
      <c r="F150" s="272"/>
      <c r="G150" s="272"/>
      <c r="H150" s="8"/>
      <c r="I150" s="5"/>
      <c r="J150" s="409">
        <f t="shared" si="8"/>
        <v>0</v>
      </c>
      <c r="K150" s="2"/>
      <c r="L150" s="8"/>
      <c r="M150" s="7"/>
      <c r="N150" s="9" t="str">
        <f t="shared" si="9"/>
        <v/>
      </c>
      <c r="O150" s="20"/>
      <c r="Q150" s="606">
        <f t="shared" si="10"/>
        <v>0</v>
      </c>
      <c r="R150" s="606">
        <f t="shared" si="11"/>
        <v>0</v>
      </c>
    </row>
    <row r="151" spans="1:18">
      <c r="A151" s="563"/>
      <c r="B151" s="564"/>
      <c r="C151" s="568"/>
      <c r="D151" s="568"/>
      <c r="E151" s="3"/>
      <c r="F151" s="272"/>
      <c r="G151" s="272"/>
      <c r="H151" s="8"/>
      <c r="I151" s="5"/>
      <c r="J151" s="409">
        <f t="shared" si="8"/>
        <v>0</v>
      </c>
      <c r="K151" s="2"/>
      <c r="L151" s="8"/>
      <c r="M151" s="7"/>
      <c r="N151" s="9" t="str">
        <f t="shared" si="9"/>
        <v/>
      </c>
      <c r="O151" s="20"/>
      <c r="Q151" s="606">
        <f t="shared" si="10"/>
        <v>0</v>
      </c>
      <c r="R151" s="606">
        <f t="shared" si="11"/>
        <v>0</v>
      </c>
    </row>
    <row r="152" spans="1:18">
      <c r="A152" s="563"/>
      <c r="B152" s="564"/>
      <c r="C152" s="568"/>
      <c r="D152" s="568"/>
      <c r="E152" s="3"/>
      <c r="F152" s="272"/>
      <c r="G152" s="272"/>
      <c r="H152" s="8"/>
      <c r="I152" s="5"/>
      <c r="J152" s="409">
        <f t="shared" si="8"/>
        <v>0</v>
      </c>
      <c r="K152" s="2"/>
      <c r="L152" s="8"/>
      <c r="M152" s="7"/>
      <c r="N152" s="9" t="str">
        <f t="shared" si="9"/>
        <v/>
      </c>
      <c r="O152" s="20"/>
      <c r="Q152" s="606">
        <f t="shared" si="10"/>
        <v>0</v>
      </c>
      <c r="R152" s="606">
        <f t="shared" si="11"/>
        <v>0</v>
      </c>
    </row>
    <row r="153" spans="1:18">
      <c r="A153" s="563"/>
      <c r="B153" s="564"/>
      <c r="C153" s="568"/>
      <c r="D153" s="568"/>
      <c r="E153" s="3"/>
      <c r="F153" s="272"/>
      <c r="G153" s="272"/>
      <c r="H153" s="8"/>
      <c r="I153" s="5"/>
      <c r="J153" s="409">
        <f t="shared" si="8"/>
        <v>0</v>
      </c>
      <c r="K153" s="2"/>
      <c r="L153" s="8"/>
      <c r="M153" s="7"/>
      <c r="N153" s="9" t="str">
        <f t="shared" si="9"/>
        <v/>
      </c>
      <c r="O153" s="20"/>
      <c r="Q153" s="606">
        <f t="shared" si="10"/>
        <v>0</v>
      </c>
      <c r="R153" s="606">
        <f t="shared" si="11"/>
        <v>0</v>
      </c>
    </row>
    <row r="154" spans="1:18">
      <c r="A154" s="563"/>
      <c r="B154" s="564"/>
      <c r="C154" s="568"/>
      <c r="D154" s="568"/>
      <c r="E154" s="3"/>
      <c r="F154" s="272"/>
      <c r="G154" s="272"/>
      <c r="H154" s="8"/>
      <c r="I154" s="5"/>
      <c r="J154" s="409">
        <f t="shared" si="8"/>
        <v>0</v>
      </c>
      <c r="K154" s="2"/>
      <c r="L154" s="8"/>
      <c r="M154" s="7"/>
      <c r="N154" s="9" t="str">
        <f t="shared" si="9"/>
        <v/>
      </c>
      <c r="O154" s="20"/>
      <c r="Q154" s="606">
        <f t="shared" si="10"/>
        <v>0</v>
      </c>
      <c r="R154" s="606">
        <f t="shared" si="11"/>
        <v>0</v>
      </c>
    </row>
    <row r="155" spans="1:18">
      <c r="A155" s="563"/>
      <c r="B155" s="564"/>
      <c r="C155" s="568"/>
      <c r="D155" s="568"/>
      <c r="E155" s="3"/>
      <c r="F155" s="272"/>
      <c r="G155" s="272"/>
      <c r="H155" s="8"/>
      <c r="I155" s="5"/>
      <c r="J155" s="409">
        <f t="shared" si="8"/>
        <v>0</v>
      </c>
      <c r="K155" s="2"/>
      <c r="L155" s="8"/>
      <c r="M155" s="7"/>
      <c r="N155" s="9" t="str">
        <f t="shared" si="9"/>
        <v/>
      </c>
      <c r="O155" s="20"/>
      <c r="Q155" s="606">
        <f t="shared" si="10"/>
        <v>0</v>
      </c>
      <c r="R155" s="606">
        <f t="shared" si="11"/>
        <v>0</v>
      </c>
    </row>
    <row r="156" spans="1:18">
      <c r="A156" s="563"/>
      <c r="B156" s="564"/>
      <c r="C156" s="568"/>
      <c r="D156" s="568"/>
      <c r="E156" s="3"/>
      <c r="F156" s="272"/>
      <c r="G156" s="272"/>
      <c r="H156" s="8"/>
      <c r="I156" s="5"/>
      <c r="J156" s="409">
        <f t="shared" si="8"/>
        <v>0</v>
      </c>
      <c r="K156" s="2"/>
      <c r="L156" s="8"/>
      <c r="M156" s="7"/>
      <c r="N156" s="9" t="str">
        <f t="shared" si="9"/>
        <v/>
      </c>
      <c r="O156" s="20"/>
      <c r="Q156" s="606">
        <f t="shared" si="10"/>
        <v>0</v>
      </c>
      <c r="R156" s="606">
        <f t="shared" si="11"/>
        <v>0</v>
      </c>
    </row>
    <row r="157" spans="1:18">
      <c r="A157" s="563"/>
      <c r="B157" s="564"/>
      <c r="C157" s="568"/>
      <c r="D157" s="568"/>
      <c r="E157" s="3"/>
      <c r="F157" s="272"/>
      <c r="G157" s="272"/>
      <c r="H157" s="8"/>
      <c r="I157" s="5"/>
      <c r="J157" s="409">
        <f t="shared" si="8"/>
        <v>0</v>
      </c>
      <c r="K157" s="2"/>
      <c r="L157" s="8"/>
      <c r="M157" s="7"/>
      <c r="N157" s="9" t="str">
        <f t="shared" si="9"/>
        <v/>
      </c>
      <c r="O157" s="20"/>
      <c r="Q157" s="606">
        <f t="shared" si="10"/>
        <v>0</v>
      </c>
      <c r="R157" s="606">
        <f t="shared" si="11"/>
        <v>0</v>
      </c>
    </row>
    <row r="158" spans="1:18">
      <c r="A158" s="563"/>
      <c r="B158" s="564"/>
      <c r="C158" s="568"/>
      <c r="D158" s="568"/>
      <c r="E158" s="3"/>
      <c r="F158" s="272"/>
      <c r="G158" s="272"/>
      <c r="H158" s="8"/>
      <c r="I158" s="5"/>
      <c r="J158" s="409">
        <f t="shared" si="8"/>
        <v>0</v>
      </c>
      <c r="K158" s="2"/>
      <c r="L158" s="8"/>
      <c r="M158" s="7"/>
      <c r="N158" s="9" t="str">
        <f t="shared" si="9"/>
        <v/>
      </c>
      <c r="O158" s="20"/>
      <c r="Q158" s="606">
        <f t="shared" si="10"/>
        <v>0</v>
      </c>
      <c r="R158" s="606">
        <f t="shared" si="11"/>
        <v>0</v>
      </c>
    </row>
    <row r="159" spans="1:18">
      <c r="A159" s="563"/>
      <c r="B159" s="564"/>
      <c r="C159" s="568"/>
      <c r="D159" s="568"/>
      <c r="E159" s="3"/>
      <c r="F159" s="272"/>
      <c r="G159" s="272"/>
      <c r="H159" s="8"/>
      <c r="I159" s="5"/>
      <c r="J159" s="409">
        <f t="shared" si="8"/>
        <v>0</v>
      </c>
      <c r="K159" s="2"/>
      <c r="L159" s="8"/>
      <c r="M159" s="7"/>
      <c r="N159" s="9" t="str">
        <f t="shared" si="9"/>
        <v/>
      </c>
      <c r="O159" s="20"/>
      <c r="Q159" s="606">
        <f t="shared" si="10"/>
        <v>0</v>
      </c>
      <c r="R159" s="606">
        <f t="shared" si="11"/>
        <v>0</v>
      </c>
    </row>
    <row r="160" spans="1:18">
      <c r="A160" s="563"/>
      <c r="B160" s="564"/>
      <c r="C160" s="568"/>
      <c r="D160" s="568"/>
      <c r="E160" s="3"/>
      <c r="F160" s="272"/>
      <c r="G160" s="272"/>
      <c r="H160" s="8"/>
      <c r="I160" s="5"/>
      <c r="J160" s="409">
        <f t="shared" si="8"/>
        <v>0</v>
      </c>
      <c r="K160" s="2"/>
      <c r="L160" s="8"/>
      <c r="M160" s="7"/>
      <c r="N160" s="9" t="str">
        <f t="shared" si="9"/>
        <v/>
      </c>
      <c r="O160" s="20"/>
      <c r="Q160" s="606">
        <f t="shared" si="10"/>
        <v>0</v>
      </c>
      <c r="R160" s="606">
        <f t="shared" si="11"/>
        <v>0</v>
      </c>
    </row>
    <row r="161" spans="1:18">
      <c r="A161" s="563"/>
      <c r="B161" s="564"/>
      <c r="C161" s="568"/>
      <c r="D161" s="568"/>
      <c r="E161" s="3"/>
      <c r="F161" s="272"/>
      <c r="G161" s="272"/>
      <c r="H161" s="8"/>
      <c r="I161" s="5"/>
      <c r="J161" s="409">
        <f t="shared" si="8"/>
        <v>0</v>
      </c>
      <c r="K161" s="2"/>
      <c r="L161" s="8"/>
      <c r="M161" s="7"/>
      <c r="N161" s="9" t="str">
        <f t="shared" si="9"/>
        <v/>
      </c>
      <c r="O161" s="20"/>
      <c r="Q161" s="606">
        <f t="shared" si="10"/>
        <v>0</v>
      </c>
      <c r="R161" s="606">
        <f t="shared" si="11"/>
        <v>0</v>
      </c>
    </row>
    <row r="162" spans="1:18">
      <c r="A162" s="563"/>
      <c r="B162" s="564"/>
      <c r="C162" s="568"/>
      <c r="D162" s="568"/>
      <c r="E162" s="3"/>
      <c r="F162" s="272"/>
      <c r="G162" s="272"/>
      <c r="H162" s="8"/>
      <c r="I162" s="5"/>
      <c r="J162" s="409">
        <f t="shared" si="8"/>
        <v>0</v>
      </c>
      <c r="K162" s="2"/>
      <c r="L162" s="8"/>
      <c r="M162" s="7"/>
      <c r="N162" s="9" t="str">
        <f t="shared" si="9"/>
        <v/>
      </c>
      <c r="O162" s="20"/>
      <c r="Q162" s="606">
        <f t="shared" si="10"/>
        <v>0</v>
      </c>
      <c r="R162" s="606">
        <f t="shared" si="11"/>
        <v>0</v>
      </c>
    </row>
    <row r="163" spans="1:18">
      <c r="A163" s="563"/>
      <c r="B163" s="564"/>
      <c r="C163" s="568"/>
      <c r="D163" s="568"/>
      <c r="E163" s="3"/>
      <c r="F163" s="272"/>
      <c r="G163" s="272"/>
      <c r="H163" s="8"/>
      <c r="I163" s="5"/>
      <c r="J163" s="409">
        <f t="shared" si="8"/>
        <v>0</v>
      </c>
      <c r="K163" s="2"/>
      <c r="L163" s="8"/>
      <c r="M163" s="7"/>
      <c r="N163" s="9" t="str">
        <f t="shared" si="9"/>
        <v/>
      </c>
      <c r="O163" s="20"/>
      <c r="Q163" s="606">
        <f t="shared" si="10"/>
        <v>0</v>
      </c>
      <c r="R163" s="606">
        <f t="shared" si="11"/>
        <v>0</v>
      </c>
    </row>
    <row r="164" spans="1:18">
      <c r="A164" s="563"/>
      <c r="B164" s="564"/>
      <c r="C164" s="568"/>
      <c r="D164" s="568"/>
      <c r="E164" s="3"/>
      <c r="F164" s="272"/>
      <c r="G164" s="272"/>
      <c r="H164" s="8"/>
      <c r="I164" s="5"/>
      <c r="J164" s="409">
        <f t="shared" si="8"/>
        <v>0</v>
      </c>
      <c r="K164" s="2"/>
      <c r="L164" s="8"/>
      <c r="M164" s="7"/>
      <c r="N164" s="9" t="str">
        <f t="shared" si="9"/>
        <v/>
      </c>
      <c r="O164" s="20"/>
      <c r="Q164" s="606">
        <f t="shared" si="10"/>
        <v>0</v>
      </c>
      <c r="R164" s="606">
        <f t="shared" si="11"/>
        <v>0</v>
      </c>
    </row>
    <row r="165" spans="1:18">
      <c r="A165" s="563"/>
      <c r="B165" s="564"/>
      <c r="C165" s="568"/>
      <c r="D165" s="568"/>
      <c r="E165" s="3"/>
      <c r="F165" s="272"/>
      <c r="G165" s="272"/>
      <c r="H165" s="8"/>
      <c r="I165" s="5"/>
      <c r="J165" s="409">
        <f t="shared" si="8"/>
        <v>0</v>
      </c>
      <c r="K165" s="2"/>
      <c r="L165" s="8"/>
      <c r="M165" s="7"/>
      <c r="N165" s="9" t="str">
        <f t="shared" si="9"/>
        <v/>
      </c>
      <c r="O165" s="20"/>
      <c r="Q165" s="606">
        <f t="shared" si="10"/>
        <v>0</v>
      </c>
      <c r="R165" s="606">
        <f t="shared" si="11"/>
        <v>0</v>
      </c>
    </row>
    <row r="166" spans="1:18">
      <c r="A166" s="563"/>
      <c r="B166" s="564"/>
      <c r="C166" s="568"/>
      <c r="D166" s="568"/>
      <c r="E166" s="3"/>
      <c r="F166" s="272"/>
      <c r="G166" s="272"/>
      <c r="H166" s="8"/>
      <c r="I166" s="5"/>
      <c r="J166" s="409">
        <f t="shared" si="8"/>
        <v>0</v>
      </c>
      <c r="K166" s="2"/>
      <c r="L166" s="8"/>
      <c r="M166" s="7"/>
      <c r="N166" s="9" t="str">
        <f t="shared" si="9"/>
        <v/>
      </c>
      <c r="O166" s="20"/>
      <c r="Q166" s="606">
        <f t="shared" si="10"/>
        <v>0</v>
      </c>
      <c r="R166" s="606">
        <f t="shared" si="11"/>
        <v>0</v>
      </c>
    </row>
    <row r="167" spans="1:18">
      <c r="A167" s="563"/>
      <c r="B167" s="564"/>
      <c r="C167" s="568"/>
      <c r="D167" s="568"/>
      <c r="E167" s="3"/>
      <c r="F167" s="272"/>
      <c r="G167" s="272"/>
      <c r="H167" s="8"/>
      <c r="I167" s="5"/>
      <c r="J167" s="409">
        <f t="shared" si="8"/>
        <v>0</v>
      </c>
      <c r="K167" s="2"/>
      <c r="L167" s="8"/>
      <c r="M167" s="7"/>
      <c r="N167" s="9" t="str">
        <f t="shared" si="9"/>
        <v/>
      </c>
      <c r="O167" s="20"/>
      <c r="Q167" s="606">
        <f t="shared" si="10"/>
        <v>0</v>
      </c>
      <c r="R167" s="606">
        <f t="shared" si="11"/>
        <v>0</v>
      </c>
    </row>
    <row r="168" spans="1:18">
      <c r="A168" s="563"/>
      <c r="B168" s="564"/>
      <c r="C168" s="568"/>
      <c r="D168" s="568"/>
      <c r="E168" s="3"/>
      <c r="F168" s="272"/>
      <c r="G168" s="272"/>
      <c r="H168" s="8"/>
      <c r="I168" s="5"/>
      <c r="J168" s="409">
        <f t="shared" si="8"/>
        <v>0</v>
      </c>
      <c r="K168" s="2"/>
      <c r="L168" s="8"/>
      <c r="M168" s="7"/>
      <c r="N168" s="9" t="str">
        <f t="shared" si="9"/>
        <v/>
      </c>
      <c r="O168" s="20"/>
      <c r="Q168" s="606">
        <f t="shared" si="10"/>
        <v>0</v>
      </c>
      <c r="R168" s="606">
        <f t="shared" si="11"/>
        <v>0</v>
      </c>
    </row>
    <row r="169" spans="1:18">
      <c r="A169" s="563"/>
      <c r="B169" s="564"/>
      <c r="C169" s="568"/>
      <c r="D169" s="568"/>
      <c r="E169" s="3"/>
      <c r="F169" s="272"/>
      <c r="G169" s="272"/>
      <c r="H169" s="8"/>
      <c r="I169" s="5"/>
      <c r="J169" s="409">
        <f t="shared" si="8"/>
        <v>0</v>
      </c>
      <c r="K169" s="2"/>
      <c r="L169" s="8"/>
      <c r="M169" s="7"/>
      <c r="N169" s="9" t="str">
        <f t="shared" si="9"/>
        <v/>
      </c>
      <c r="O169" s="20"/>
      <c r="Q169" s="606">
        <f t="shared" si="10"/>
        <v>0</v>
      </c>
      <c r="R169" s="606">
        <f t="shared" si="11"/>
        <v>0</v>
      </c>
    </row>
    <row r="170" spans="1:18">
      <c r="A170" s="563"/>
      <c r="B170" s="564"/>
      <c r="C170" s="568"/>
      <c r="D170" s="568"/>
      <c r="E170" s="3"/>
      <c r="F170" s="272"/>
      <c r="G170" s="272"/>
      <c r="H170" s="8"/>
      <c r="I170" s="5"/>
      <c r="J170" s="409">
        <f t="shared" si="8"/>
        <v>0</v>
      </c>
      <c r="K170" s="2"/>
      <c r="L170" s="8"/>
      <c r="M170" s="7"/>
      <c r="N170" s="9" t="str">
        <f t="shared" si="9"/>
        <v/>
      </c>
      <c r="O170" s="20"/>
      <c r="Q170" s="606">
        <f t="shared" si="10"/>
        <v>0</v>
      </c>
      <c r="R170" s="606">
        <f t="shared" si="11"/>
        <v>0</v>
      </c>
    </row>
    <row r="171" spans="1:18">
      <c r="A171" s="563"/>
      <c r="B171" s="564"/>
      <c r="C171" s="568"/>
      <c r="D171" s="568"/>
      <c r="E171" s="3"/>
      <c r="F171" s="272"/>
      <c r="G171" s="272"/>
      <c r="H171" s="8"/>
      <c r="I171" s="5"/>
      <c r="J171" s="409">
        <f t="shared" si="8"/>
        <v>0</v>
      </c>
      <c r="K171" s="2"/>
      <c r="L171" s="8"/>
      <c r="M171" s="7"/>
      <c r="N171" s="9" t="str">
        <f t="shared" si="9"/>
        <v/>
      </c>
      <c r="O171" s="20"/>
      <c r="Q171" s="606">
        <f t="shared" si="10"/>
        <v>0</v>
      </c>
      <c r="R171" s="606">
        <f t="shared" si="11"/>
        <v>0</v>
      </c>
    </row>
    <row r="172" spans="1:18">
      <c r="A172" s="563"/>
      <c r="B172" s="564"/>
      <c r="C172" s="568"/>
      <c r="D172" s="568"/>
      <c r="E172" s="3"/>
      <c r="F172" s="272"/>
      <c r="G172" s="272"/>
      <c r="H172" s="8"/>
      <c r="I172" s="5"/>
      <c r="J172" s="409">
        <f t="shared" si="8"/>
        <v>0</v>
      </c>
      <c r="K172" s="2"/>
      <c r="L172" s="8"/>
      <c r="M172" s="7"/>
      <c r="N172" s="9" t="str">
        <f t="shared" si="9"/>
        <v/>
      </c>
      <c r="O172" s="20"/>
      <c r="Q172" s="606">
        <f t="shared" si="10"/>
        <v>0</v>
      </c>
      <c r="R172" s="606">
        <f t="shared" si="11"/>
        <v>0</v>
      </c>
    </row>
    <row r="173" spans="1:18">
      <c r="A173" s="563"/>
      <c r="B173" s="564"/>
      <c r="C173" s="568"/>
      <c r="D173" s="568"/>
      <c r="E173" s="3"/>
      <c r="F173" s="272"/>
      <c r="G173" s="272"/>
      <c r="H173" s="8"/>
      <c r="I173" s="5"/>
      <c r="J173" s="409">
        <f t="shared" si="8"/>
        <v>0</v>
      </c>
      <c r="K173" s="2"/>
      <c r="L173" s="8"/>
      <c r="M173" s="7"/>
      <c r="N173" s="9" t="str">
        <f t="shared" si="9"/>
        <v/>
      </c>
      <c r="O173" s="20"/>
      <c r="Q173" s="606">
        <f t="shared" si="10"/>
        <v>0</v>
      </c>
      <c r="R173" s="606">
        <f t="shared" si="11"/>
        <v>0</v>
      </c>
    </row>
    <row r="174" spans="1:18">
      <c r="A174" s="563"/>
      <c r="B174" s="564"/>
      <c r="C174" s="568"/>
      <c r="D174" s="568"/>
      <c r="E174" s="3"/>
      <c r="F174" s="272"/>
      <c r="G174" s="272"/>
      <c r="H174" s="8"/>
      <c r="I174" s="5"/>
      <c r="J174" s="409">
        <f t="shared" si="8"/>
        <v>0</v>
      </c>
      <c r="K174" s="2"/>
      <c r="L174" s="8"/>
      <c r="M174" s="7"/>
      <c r="N174" s="9" t="str">
        <f t="shared" si="9"/>
        <v/>
      </c>
      <c r="O174" s="20"/>
      <c r="Q174" s="606">
        <f t="shared" si="10"/>
        <v>0</v>
      </c>
      <c r="R174" s="606">
        <f t="shared" si="11"/>
        <v>0</v>
      </c>
    </row>
    <row r="175" spans="1:18">
      <c r="A175" s="563"/>
      <c r="B175" s="564"/>
      <c r="C175" s="568"/>
      <c r="D175" s="568"/>
      <c r="E175" s="3"/>
      <c r="F175" s="272"/>
      <c r="G175" s="272"/>
      <c r="H175" s="8"/>
      <c r="I175" s="5"/>
      <c r="J175" s="409">
        <f t="shared" si="8"/>
        <v>0</v>
      </c>
      <c r="K175" s="2"/>
      <c r="L175" s="8"/>
      <c r="M175" s="7"/>
      <c r="N175" s="9" t="str">
        <f t="shared" si="9"/>
        <v/>
      </c>
      <c r="O175" s="20"/>
      <c r="Q175" s="606">
        <f t="shared" si="10"/>
        <v>0</v>
      </c>
      <c r="R175" s="606">
        <f t="shared" si="11"/>
        <v>0</v>
      </c>
    </row>
    <row r="176" spans="1:18">
      <c r="A176" s="563"/>
      <c r="B176" s="564"/>
      <c r="C176" s="568"/>
      <c r="D176" s="568"/>
      <c r="E176" s="3"/>
      <c r="F176" s="272"/>
      <c r="G176" s="272"/>
      <c r="H176" s="8"/>
      <c r="I176" s="5"/>
      <c r="J176" s="409">
        <f t="shared" si="8"/>
        <v>0</v>
      </c>
      <c r="K176" s="2"/>
      <c r="L176" s="8"/>
      <c r="M176" s="7"/>
      <c r="N176" s="9" t="str">
        <f t="shared" si="9"/>
        <v/>
      </c>
      <c r="O176" s="20"/>
      <c r="Q176" s="606">
        <f t="shared" si="10"/>
        <v>0</v>
      </c>
      <c r="R176" s="606">
        <f t="shared" si="11"/>
        <v>0</v>
      </c>
    </row>
    <row r="177" spans="1:18">
      <c r="A177" s="563"/>
      <c r="B177" s="564"/>
      <c r="C177" s="568"/>
      <c r="D177" s="568"/>
      <c r="E177" s="3"/>
      <c r="F177" s="272"/>
      <c r="G177" s="272"/>
      <c r="H177" s="8"/>
      <c r="I177" s="5"/>
      <c r="J177" s="409">
        <f t="shared" si="8"/>
        <v>0</v>
      </c>
      <c r="K177" s="2"/>
      <c r="L177" s="8"/>
      <c r="M177" s="7"/>
      <c r="N177" s="9" t="str">
        <f t="shared" si="9"/>
        <v/>
      </c>
      <c r="O177" s="20"/>
      <c r="Q177" s="606">
        <f t="shared" si="10"/>
        <v>0</v>
      </c>
      <c r="R177" s="606">
        <f t="shared" si="11"/>
        <v>0</v>
      </c>
    </row>
    <row r="178" spans="1:18">
      <c r="A178" s="563"/>
      <c r="B178" s="564"/>
      <c r="C178" s="568"/>
      <c r="D178" s="568"/>
      <c r="E178" s="3"/>
      <c r="F178" s="272"/>
      <c r="G178" s="272"/>
      <c r="H178" s="8"/>
      <c r="I178" s="5"/>
      <c r="J178" s="409">
        <f t="shared" si="8"/>
        <v>0</v>
      </c>
      <c r="K178" s="2"/>
      <c r="L178" s="8"/>
      <c r="M178" s="7"/>
      <c r="N178" s="9" t="str">
        <f t="shared" si="9"/>
        <v/>
      </c>
      <c r="O178" s="20"/>
      <c r="Q178" s="606">
        <f t="shared" si="10"/>
        <v>0</v>
      </c>
      <c r="R178" s="606">
        <f t="shared" si="11"/>
        <v>0</v>
      </c>
    </row>
    <row r="179" spans="1:18">
      <c r="A179" s="563"/>
      <c r="B179" s="564"/>
      <c r="C179" s="568"/>
      <c r="D179" s="568"/>
      <c r="E179" s="3"/>
      <c r="F179" s="272"/>
      <c r="G179" s="272"/>
      <c r="H179" s="8"/>
      <c r="I179" s="5"/>
      <c r="J179" s="409">
        <f t="shared" si="8"/>
        <v>0</v>
      </c>
      <c r="K179" s="2"/>
      <c r="L179" s="8"/>
      <c r="M179" s="7"/>
      <c r="N179" s="9" t="str">
        <f t="shared" si="9"/>
        <v/>
      </c>
      <c r="O179" s="20"/>
      <c r="Q179" s="606">
        <f t="shared" si="10"/>
        <v>0</v>
      </c>
      <c r="R179" s="606">
        <f t="shared" si="11"/>
        <v>0</v>
      </c>
    </row>
    <row r="180" spans="1:18">
      <c r="A180" s="563"/>
      <c r="B180" s="564"/>
      <c r="C180" s="568"/>
      <c r="D180" s="568"/>
      <c r="E180" s="3"/>
      <c r="F180" s="272"/>
      <c r="G180" s="272"/>
      <c r="H180" s="8"/>
      <c r="I180" s="5"/>
      <c r="J180" s="409">
        <f t="shared" si="8"/>
        <v>0</v>
      </c>
      <c r="K180" s="2"/>
      <c r="L180" s="8"/>
      <c r="M180" s="7"/>
      <c r="N180" s="9" t="str">
        <f t="shared" si="9"/>
        <v/>
      </c>
      <c r="O180" s="20"/>
      <c r="Q180" s="606">
        <f t="shared" si="10"/>
        <v>0</v>
      </c>
      <c r="R180" s="606">
        <f t="shared" si="11"/>
        <v>0</v>
      </c>
    </row>
    <row r="181" spans="1:18">
      <c r="A181" s="563"/>
      <c r="B181" s="564"/>
      <c r="C181" s="568"/>
      <c r="D181" s="568"/>
      <c r="E181" s="3"/>
      <c r="F181" s="272"/>
      <c r="G181" s="272"/>
      <c r="H181" s="8"/>
      <c r="I181" s="5"/>
      <c r="J181" s="409">
        <f t="shared" si="8"/>
        <v>0</v>
      </c>
      <c r="K181" s="2"/>
      <c r="L181" s="8"/>
      <c r="M181" s="7"/>
      <c r="N181" s="9" t="str">
        <f t="shared" si="9"/>
        <v/>
      </c>
      <c r="O181" s="20"/>
      <c r="Q181" s="606">
        <f t="shared" si="10"/>
        <v>0</v>
      </c>
      <c r="R181" s="606">
        <f t="shared" si="11"/>
        <v>0</v>
      </c>
    </row>
    <row r="182" spans="1:18">
      <c r="A182" s="563"/>
      <c r="B182" s="564"/>
      <c r="C182" s="568"/>
      <c r="D182" s="568"/>
      <c r="E182" s="3"/>
      <c r="F182" s="272"/>
      <c r="G182" s="272"/>
      <c r="H182" s="8"/>
      <c r="I182" s="5"/>
      <c r="J182" s="409">
        <f t="shared" si="8"/>
        <v>0</v>
      </c>
      <c r="K182" s="2"/>
      <c r="L182" s="8"/>
      <c r="M182" s="7"/>
      <c r="N182" s="9" t="str">
        <f t="shared" si="9"/>
        <v/>
      </c>
      <c r="O182" s="20"/>
      <c r="Q182" s="606">
        <f t="shared" si="10"/>
        <v>0</v>
      </c>
      <c r="R182" s="606">
        <f t="shared" si="11"/>
        <v>0</v>
      </c>
    </row>
    <row r="183" spans="1:18">
      <c r="A183" s="563"/>
      <c r="B183" s="564"/>
      <c r="C183" s="568"/>
      <c r="D183" s="568"/>
      <c r="E183" s="3"/>
      <c r="F183" s="272"/>
      <c r="G183" s="272"/>
      <c r="H183" s="8"/>
      <c r="I183" s="5"/>
      <c r="J183" s="409">
        <f t="shared" si="8"/>
        <v>0</v>
      </c>
      <c r="K183" s="2"/>
      <c r="L183" s="8"/>
      <c r="M183" s="7"/>
      <c r="N183" s="9" t="str">
        <f t="shared" si="9"/>
        <v/>
      </c>
      <c r="O183" s="20"/>
      <c r="Q183" s="606">
        <f t="shared" si="10"/>
        <v>0</v>
      </c>
      <c r="R183" s="606">
        <f t="shared" si="11"/>
        <v>0</v>
      </c>
    </row>
    <row r="184" spans="1:18">
      <c r="A184" s="563"/>
      <c r="B184" s="564"/>
      <c r="C184" s="568"/>
      <c r="D184" s="568"/>
      <c r="E184" s="3"/>
      <c r="F184" s="272"/>
      <c r="G184" s="272"/>
      <c r="H184" s="8"/>
      <c r="I184" s="5"/>
      <c r="J184" s="409">
        <f t="shared" si="8"/>
        <v>0</v>
      </c>
      <c r="K184" s="2"/>
      <c r="L184" s="8"/>
      <c r="M184" s="7"/>
      <c r="N184" s="9" t="str">
        <f t="shared" si="9"/>
        <v/>
      </c>
      <c r="O184" s="20"/>
      <c r="Q184" s="606">
        <f t="shared" si="10"/>
        <v>0</v>
      </c>
      <c r="R184" s="606">
        <f t="shared" si="11"/>
        <v>0</v>
      </c>
    </row>
    <row r="185" spans="1:18">
      <c r="A185" s="563"/>
      <c r="B185" s="564"/>
      <c r="C185" s="567"/>
      <c r="D185" s="568"/>
      <c r="E185" s="3"/>
      <c r="F185" s="272"/>
      <c r="G185" s="272"/>
      <c r="H185" s="8"/>
      <c r="I185" s="5"/>
      <c r="J185" s="409">
        <f t="shared" si="8"/>
        <v>0</v>
      </c>
      <c r="K185" s="2"/>
      <c r="L185" s="8"/>
      <c r="M185" s="7"/>
      <c r="N185" s="9" t="str">
        <f t="shared" si="9"/>
        <v/>
      </c>
      <c r="O185" s="20"/>
      <c r="Q185" s="606">
        <f t="shared" si="10"/>
        <v>0</v>
      </c>
      <c r="R185" s="606">
        <f t="shared" si="11"/>
        <v>0</v>
      </c>
    </row>
    <row r="186" spans="1:18">
      <c r="A186" s="563"/>
      <c r="B186" s="564"/>
      <c r="C186" s="568"/>
      <c r="D186" s="568"/>
      <c r="E186" s="3"/>
      <c r="F186" s="272"/>
      <c r="G186" s="272"/>
      <c r="H186" s="8"/>
      <c r="I186" s="5"/>
      <c r="J186" s="409">
        <f t="shared" si="8"/>
        <v>0</v>
      </c>
      <c r="K186" s="2"/>
      <c r="L186" s="8"/>
      <c r="M186" s="7"/>
      <c r="N186" s="9" t="str">
        <f t="shared" si="9"/>
        <v/>
      </c>
      <c r="O186" s="20"/>
      <c r="Q186" s="606">
        <f t="shared" si="10"/>
        <v>0</v>
      </c>
      <c r="R186" s="606">
        <f t="shared" si="11"/>
        <v>0</v>
      </c>
    </row>
    <row r="187" spans="1:18">
      <c r="A187" s="563"/>
      <c r="B187" s="564"/>
      <c r="C187" s="568"/>
      <c r="D187" s="568"/>
      <c r="E187" s="3"/>
      <c r="F187" s="272"/>
      <c r="G187" s="272"/>
      <c r="H187" s="8"/>
      <c r="I187" s="5"/>
      <c r="J187" s="409">
        <f t="shared" si="8"/>
        <v>0</v>
      </c>
      <c r="K187" s="2"/>
      <c r="L187" s="8"/>
      <c r="M187" s="7"/>
      <c r="N187" s="9" t="str">
        <f t="shared" si="9"/>
        <v/>
      </c>
      <c r="O187" s="20"/>
      <c r="Q187" s="606">
        <f t="shared" si="10"/>
        <v>0</v>
      </c>
      <c r="R187" s="606">
        <f t="shared" si="11"/>
        <v>0</v>
      </c>
    </row>
    <row r="188" spans="1:18">
      <c r="A188" s="563"/>
      <c r="B188" s="564"/>
      <c r="C188" s="568"/>
      <c r="D188" s="568"/>
      <c r="E188" s="3"/>
      <c r="F188" s="272"/>
      <c r="G188" s="272"/>
      <c r="H188" s="8"/>
      <c r="I188" s="5"/>
      <c r="J188" s="409">
        <f t="shared" si="8"/>
        <v>0</v>
      </c>
      <c r="K188" s="2"/>
      <c r="L188" s="8"/>
      <c r="M188" s="7"/>
      <c r="N188" s="9" t="str">
        <f t="shared" si="9"/>
        <v/>
      </c>
      <c r="O188" s="20"/>
      <c r="Q188" s="606">
        <f t="shared" si="10"/>
        <v>0</v>
      </c>
      <c r="R188" s="606">
        <f t="shared" si="11"/>
        <v>0</v>
      </c>
    </row>
    <row r="189" spans="1:18">
      <c r="A189" s="563"/>
      <c r="B189" s="564"/>
      <c r="C189" s="568"/>
      <c r="D189" s="568"/>
      <c r="E189" s="3"/>
      <c r="F189" s="272"/>
      <c r="G189" s="272"/>
      <c r="H189" s="8"/>
      <c r="I189" s="5"/>
      <c r="J189" s="409">
        <f t="shared" si="8"/>
        <v>0</v>
      </c>
      <c r="K189" s="2"/>
      <c r="L189" s="8"/>
      <c r="M189" s="7"/>
      <c r="N189" s="9" t="str">
        <f t="shared" si="9"/>
        <v/>
      </c>
      <c r="O189" s="20"/>
      <c r="Q189" s="606">
        <f t="shared" si="10"/>
        <v>0</v>
      </c>
      <c r="R189" s="606">
        <f t="shared" si="11"/>
        <v>0</v>
      </c>
    </row>
    <row r="190" spans="1:18">
      <c r="A190" s="563"/>
      <c r="B190" s="564"/>
      <c r="C190" s="568"/>
      <c r="D190" s="568"/>
      <c r="E190" s="3"/>
      <c r="F190" s="272"/>
      <c r="G190" s="272"/>
      <c r="H190" s="8"/>
      <c r="I190" s="5"/>
      <c r="J190" s="409">
        <f t="shared" si="8"/>
        <v>0</v>
      </c>
      <c r="K190" s="2"/>
      <c r="L190" s="8"/>
      <c r="M190" s="7"/>
      <c r="N190" s="9" t="str">
        <f t="shared" si="9"/>
        <v/>
      </c>
      <c r="O190" s="20"/>
      <c r="Q190" s="606">
        <f t="shared" si="10"/>
        <v>0</v>
      </c>
      <c r="R190" s="606">
        <f t="shared" si="11"/>
        <v>0</v>
      </c>
    </row>
    <row r="191" spans="1:18">
      <c r="A191" s="563"/>
      <c r="B191" s="564"/>
      <c r="C191" s="568"/>
      <c r="D191" s="568"/>
      <c r="E191" s="3"/>
      <c r="F191" s="272"/>
      <c r="G191" s="272"/>
      <c r="H191" s="8"/>
      <c r="I191" s="5"/>
      <c r="J191" s="409">
        <f t="shared" si="8"/>
        <v>0</v>
      </c>
      <c r="K191" s="2"/>
      <c r="L191" s="8"/>
      <c r="M191" s="7"/>
      <c r="N191" s="9" t="str">
        <f t="shared" si="9"/>
        <v/>
      </c>
      <c r="O191" s="20"/>
      <c r="Q191" s="606">
        <f t="shared" si="10"/>
        <v>0</v>
      </c>
      <c r="R191" s="606">
        <f t="shared" si="11"/>
        <v>0</v>
      </c>
    </row>
    <row r="192" spans="1:18">
      <c r="A192" s="563"/>
      <c r="B192" s="564"/>
      <c r="C192" s="568"/>
      <c r="D192" s="568"/>
      <c r="E192" s="3"/>
      <c r="F192" s="272"/>
      <c r="G192" s="272"/>
      <c r="H192" s="8"/>
      <c r="I192" s="5"/>
      <c r="J192" s="409">
        <f t="shared" si="8"/>
        <v>0</v>
      </c>
      <c r="K192" s="2"/>
      <c r="L192" s="8"/>
      <c r="M192" s="7"/>
      <c r="N192" s="9" t="str">
        <f t="shared" si="9"/>
        <v/>
      </c>
      <c r="O192" s="20"/>
      <c r="Q192" s="606">
        <f t="shared" si="10"/>
        <v>0</v>
      </c>
      <c r="R192" s="606">
        <f t="shared" si="11"/>
        <v>0</v>
      </c>
    </row>
    <row r="193" spans="1:18">
      <c r="A193" s="563"/>
      <c r="B193" s="564"/>
      <c r="C193" s="568"/>
      <c r="D193" s="568"/>
      <c r="E193" s="3"/>
      <c r="F193" s="272"/>
      <c r="G193" s="272"/>
      <c r="H193" s="8"/>
      <c r="I193" s="5"/>
      <c r="J193" s="409">
        <f t="shared" si="8"/>
        <v>0</v>
      </c>
      <c r="K193" s="2"/>
      <c r="L193" s="8"/>
      <c r="M193" s="7"/>
      <c r="N193" s="9" t="str">
        <f t="shared" si="9"/>
        <v/>
      </c>
      <c r="O193" s="20"/>
      <c r="Q193" s="606">
        <f t="shared" si="10"/>
        <v>0</v>
      </c>
      <c r="R193" s="606">
        <f t="shared" si="11"/>
        <v>0</v>
      </c>
    </row>
    <row r="194" spans="1:18">
      <c r="A194" s="563"/>
      <c r="B194" s="564"/>
      <c r="C194" s="568"/>
      <c r="D194" s="568"/>
      <c r="E194" s="3"/>
      <c r="F194" s="272"/>
      <c r="G194" s="272"/>
      <c r="H194" s="8"/>
      <c r="I194" s="5"/>
      <c r="J194" s="409">
        <f t="shared" si="8"/>
        <v>0</v>
      </c>
      <c r="K194" s="2"/>
      <c r="L194" s="8"/>
      <c r="M194" s="7"/>
      <c r="N194" s="9" t="str">
        <f t="shared" si="9"/>
        <v/>
      </c>
      <c r="O194" s="20"/>
      <c r="Q194" s="606">
        <f t="shared" si="10"/>
        <v>0</v>
      </c>
      <c r="R194" s="606">
        <f t="shared" si="11"/>
        <v>0</v>
      </c>
    </row>
    <row r="195" spans="1:18">
      <c r="A195" s="563"/>
      <c r="B195" s="564"/>
      <c r="C195" s="568"/>
      <c r="D195" s="568"/>
      <c r="E195" s="3"/>
      <c r="F195" s="272"/>
      <c r="G195" s="272"/>
      <c r="H195" s="8"/>
      <c r="I195" s="5"/>
      <c r="J195" s="409">
        <f t="shared" si="8"/>
        <v>0</v>
      </c>
      <c r="K195" s="2"/>
      <c r="L195" s="8"/>
      <c r="M195" s="7"/>
      <c r="N195" s="9" t="str">
        <f t="shared" si="9"/>
        <v/>
      </c>
      <c r="O195" s="20"/>
      <c r="Q195" s="606">
        <f t="shared" si="10"/>
        <v>0</v>
      </c>
      <c r="R195" s="606">
        <f t="shared" si="11"/>
        <v>0</v>
      </c>
    </row>
    <row r="196" spans="1:18">
      <c r="A196" s="563"/>
      <c r="B196" s="564"/>
      <c r="C196" s="568"/>
      <c r="D196" s="568"/>
      <c r="E196" s="3"/>
      <c r="F196" s="272"/>
      <c r="G196" s="272"/>
      <c r="H196" s="8"/>
      <c r="I196" s="5"/>
      <c r="J196" s="409">
        <f t="shared" si="8"/>
        <v>0</v>
      </c>
      <c r="K196" s="2"/>
      <c r="L196" s="8"/>
      <c r="M196" s="7"/>
      <c r="N196" s="9" t="str">
        <f t="shared" si="9"/>
        <v/>
      </c>
      <c r="O196" s="20"/>
      <c r="Q196" s="606">
        <f t="shared" si="10"/>
        <v>0</v>
      </c>
      <c r="R196" s="606">
        <f t="shared" si="11"/>
        <v>0</v>
      </c>
    </row>
    <row r="197" spans="1:18">
      <c r="A197" s="563"/>
      <c r="B197" s="564"/>
      <c r="C197" s="568"/>
      <c r="D197" s="568"/>
      <c r="E197" s="3"/>
      <c r="F197" s="272"/>
      <c r="G197" s="272"/>
      <c r="H197" s="8"/>
      <c r="I197" s="5"/>
      <c r="J197" s="409">
        <f t="shared" si="8"/>
        <v>0</v>
      </c>
      <c r="K197" s="2"/>
      <c r="L197" s="8"/>
      <c r="M197" s="7"/>
      <c r="N197" s="9" t="str">
        <f t="shared" si="9"/>
        <v/>
      </c>
      <c r="O197" s="20"/>
      <c r="Q197" s="606">
        <f t="shared" si="10"/>
        <v>0</v>
      </c>
      <c r="R197" s="606">
        <f t="shared" si="11"/>
        <v>0</v>
      </c>
    </row>
    <row r="198" spans="1:18">
      <c r="A198" s="563"/>
      <c r="B198" s="564"/>
      <c r="C198" s="568"/>
      <c r="D198" s="568"/>
      <c r="E198" s="3"/>
      <c r="F198" s="272"/>
      <c r="G198" s="272"/>
      <c r="H198" s="8"/>
      <c r="I198" s="5"/>
      <c r="J198" s="409">
        <f t="shared" ref="J198:J261" si="12">(+F198*G198+H198*I198)*E198</f>
        <v>0</v>
      </c>
      <c r="K198" s="2"/>
      <c r="L198" s="8"/>
      <c r="M198" s="7"/>
      <c r="N198" s="9" t="str">
        <f t="shared" ref="N198:N261" si="13">IF(K198=0,"",L198*M198*E198)</f>
        <v/>
      </c>
      <c r="O198" s="20"/>
      <c r="Q198" s="606">
        <f t="shared" ref="Q198:Q261" si="14">F198*G198*E198</f>
        <v>0</v>
      </c>
      <c r="R198" s="606">
        <f t="shared" ref="R198:R261" si="15">H198*E198*I198</f>
        <v>0</v>
      </c>
    </row>
    <row r="199" spans="1:18">
      <c r="A199" s="563"/>
      <c r="B199" s="564"/>
      <c r="C199" s="568"/>
      <c r="D199" s="568"/>
      <c r="E199" s="3"/>
      <c r="F199" s="272"/>
      <c r="G199" s="272"/>
      <c r="H199" s="8"/>
      <c r="I199" s="5"/>
      <c r="J199" s="409">
        <f t="shared" si="12"/>
        <v>0</v>
      </c>
      <c r="K199" s="2"/>
      <c r="L199" s="8"/>
      <c r="M199" s="7"/>
      <c r="N199" s="9" t="str">
        <f t="shared" si="13"/>
        <v/>
      </c>
      <c r="O199" s="20"/>
      <c r="Q199" s="606">
        <f t="shared" si="14"/>
        <v>0</v>
      </c>
      <c r="R199" s="606">
        <f t="shared" si="15"/>
        <v>0</v>
      </c>
    </row>
    <row r="200" spans="1:18">
      <c r="A200" s="563"/>
      <c r="B200" s="564"/>
      <c r="C200" s="568"/>
      <c r="D200" s="568"/>
      <c r="E200" s="3"/>
      <c r="F200" s="272"/>
      <c r="G200" s="272"/>
      <c r="H200" s="8"/>
      <c r="I200" s="5"/>
      <c r="J200" s="409">
        <f t="shared" si="12"/>
        <v>0</v>
      </c>
      <c r="K200" s="2"/>
      <c r="L200" s="8"/>
      <c r="M200" s="7"/>
      <c r="N200" s="9" t="str">
        <f t="shared" si="13"/>
        <v/>
      </c>
      <c r="O200" s="20"/>
      <c r="Q200" s="606">
        <f t="shared" si="14"/>
        <v>0</v>
      </c>
      <c r="R200" s="606">
        <f t="shared" si="15"/>
        <v>0</v>
      </c>
    </row>
    <row r="201" spans="1:18">
      <c r="A201" s="563"/>
      <c r="B201" s="564"/>
      <c r="C201" s="568"/>
      <c r="D201" s="568"/>
      <c r="E201" s="3"/>
      <c r="F201" s="272"/>
      <c r="G201" s="272"/>
      <c r="H201" s="8"/>
      <c r="I201" s="5"/>
      <c r="J201" s="409">
        <f t="shared" si="12"/>
        <v>0</v>
      </c>
      <c r="K201" s="2"/>
      <c r="L201" s="8"/>
      <c r="M201" s="7"/>
      <c r="N201" s="9" t="str">
        <f t="shared" si="13"/>
        <v/>
      </c>
      <c r="O201" s="20"/>
      <c r="Q201" s="606">
        <f t="shared" si="14"/>
        <v>0</v>
      </c>
      <c r="R201" s="606">
        <f t="shared" si="15"/>
        <v>0</v>
      </c>
    </row>
    <row r="202" spans="1:18">
      <c r="A202" s="563"/>
      <c r="B202" s="564"/>
      <c r="C202" s="568"/>
      <c r="D202" s="568"/>
      <c r="E202" s="3"/>
      <c r="F202" s="272"/>
      <c r="G202" s="272"/>
      <c r="H202" s="8"/>
      <c r="I202" s="5"/>
      <c r="J202" s="409">
        <f t="shared" si="12"/>
        <v>0</v>
      </c>
      <c r="K202" s="2"/>
      <c r="L202" s="8"/>
      <c r="M202" s="7"/>
      <c r="N202" s="9" t="str">
        <f t="shared" si="13"/>
        <v/>
      </c>
      <c r="O202" s="20"/>
      <c r="Q202" s="606">
        <f t="shared" si="14"/>
        <v>0</v>
      </c>
      <c r="R202" s="606">
        <f t="shared" si="15"/>
        <v>0</v>
      </c>
    </row>
    <row r="203" spans="1:18">
      <c r="A203" s="563"/>
      <c r="B203" s="564"/>
      <c r="C203" s="568"/>
      <c r="D203" s="568"/>
      <c r="E203" s="3"/>
      <c r="F203" s="272"/>
      <c r="G203" s="272"/>
      <c r="H203" s="8"/>
      <c r="I203" s="5"/>
      <c r="J203" s="409">
        <f t="shared" si="12"/>
        <v>0</v>
      </c>
      <c r="K203" s="2"/>
      <c r="L203" s="8"/>
      <c r="M203" s="7"/>
      <c r="N203" s="9" t="str">
        <f t="shared" si="13"/>
        <v/>
      </c>
      <c r="O203" s="20"/>
      <c r="Q203" s="606">
        <f t="shared" si="14"/>
        <v>0</v>
      </c>
      <c r="R203" s="606">
        <f t="shared" si="15"/>
        <v>0</v>
      </c>
    </row>
    <row r="204" spans="1:18">
      <c r="A204" s="563"/>
      <c r="B204" s="564"/>
      <c r="C204" s="568"/>
      <c r="D204" s="568"/>
      <c r="E204" s="3"/>
      <c r="F204" s="272"/>
      <c r="G204" s="272"/>
      <c r="H204" s="8"/>
      <c r="I204" s="5"/>
      <c r="J204" s="409">
        <f t="shared" si="12"/>
        <v>0</v>
      </c>
      <c r="K204" s="2"/>
      <c r="L204" s="8"/>
      <c r="M204" s="7"/>
      <c r="N204" s="9" t="str">
        <f t="shared" si="13"/>
        <v/>
      </c>
      <c r="O204" s="20"/>
      <c r="Q204" s="606">
        <f t="shared" si="14"/>
        <v>0</v>
      </c>
      <c r="R204" s="606">
        <f t="shared" si="15"/>
        <v>0</v>
      </c>
    </row>
    <row r="205" spans="1:18">
      <c r="A205" s="563"/>
      <c r="B205" s="564"/>
      <c r="C205" s="568"/>
      <c r="D205" s="568"/>
      <c r="E205" s="3"/>
      <c r="F205" s="272"/>
      <c r="G205" s="272"/>
      <c r="H205" s="8"/>
      <c r="I205" s="5"/>
      <c r="J205" s="409">
        <f t="shared" si="12"/>
        <v>0</v>
      </c>
      <c r="K205" s="2"/>
      <c r="L205" s="8"/>
      <c r="M205" s="7"/>
      <c r="N205" s="9" t="str">
        <f t="shared" si="13"/>
        <v/>
      </c>
      <c r="O205" s="20"/>
      <c r="Q205" s="606">
        <f t="shared" si="14"/>
        <v>0</v>
      </c>
      <c r="R205" s="606">
        <f t="shared" si="15"/>
        <v>0</v>
      </c>
    </row>
    <row r="206" spans="1:18">
      <c r="A206" s="563"/>
      <c r="B206" s="564"/>
      <c r="C206" s="568"/>
      <c r="D206" s="568"/>
      <c r="E206" s="3"/>
      <c r="F206" s="272"/>
      <c r="G206" s="272"/>
      <c r="H206" s="8"/>
      <c r="I206" s="5"/>
      <c r="J206" s="409">
        <f t="shared" si="12"/>
        <v>0</v>
      </c>
      <c r="K206" s="2"/>
      <c r="L206" s="8"/>
      <c r="M206" s="7"/>
      <c r="N206" s="9" t="str">
        <f t="shared" si="13"/>
        <v/>
      </c>
      <c r="O206" s="20"/>
      <c r="Q206" s="606">
        <f t="shared" si="14"/>
        <v>0</v>
      </c>
      <c r="R206" s="606">
        <f t="shared" si="15"/>
        <v>0</v>
      </c>
    </row>
    <row r="207" spans="1:18">
      <c r="A207" s="563"/>
      <c r="B207" s="564"/>
      <c r="C207" s="568"/>
      <c r="D207" s="568"/>
      <c r="E207" s="3"/>
      <c r="F207" s="272"/>
      <c r="G207" s="272"/>
      <c r="H207" s="8"/>
      <c r="I207" s="5"/>
      <c r="J207" s="409">
        <f t="shared" si="12"/>
        <v>0</v>
      </c>
      <c r="K207" s="2"/>
      <c r="L207" s="8"/>
      <c r="M207" s="7"/>
      <c r="N207" s="9" t="str">
        <f t="shared" si="13"/>
        <v/>
      </c>
      <c r="O207" s="20"/>
      <c r="Q207" s="606">
        <f t="shared" si="14"/>
        <v>0</v>
      </c>
      <c r="R207" s="606">
        <f t="shared" si="15"/>
        <v>0</v>
      </c>
    </row>
    <row r="208" spans="1:18">
      <c r="A208" s="563"/>
      <c r="B208" s="564"/>
      <c r="C208" s="568"/>
      <c r="D208" s="568"/>
      <c r="E208" s="3"/>
      <c r="F208" s="272"/>
      <c r="G208" s="272"/>
      <c r="H208" s="8"/>
      <c r="I208" s="5"/>
      <c r="J208" s="409">
        <f t="shared" si="12"/>
        <v>0</v>
      </c>
      <c r="K208" s="2"/>
      <c r="L208" s="8"/>
      <c r="M208" s="7"/>
      <c r="N208" s="9" t="str">
        <f t="shared" si="13"/>
        <v/>
      </c>
      <c r="O208" s="20"/>
      <c r="Q208" s="606">
        <f t="shared" si="14"/>
        <v>0</v>
      </c>
      <c r="R208" s="606">
        <f t="shared" si="15"/>
        <v>0</v>
      </c>
    </row>
    <row r="209" spans="1:18">
      <c r="A209" s="563"/>
      <c r="B209" s="564"/>
      <c r="C209" s="568"/>
      <c r="D209" s="568"/>
      <c r="E209" s="3"/>
      <c r="F209" s="272"/>
      <c r="G209" s="272"/>
      <c r="H209" s="8"/>
      <c r="I209" s="5"/>
      <c r="J209" s="409">
        <f t="shared" si="12"/>
        <v>0</v>
      </c>
      <c r="K209" s="2"/>
      <c r="L209" s="8"/>
      <c r="M209" s="7"/>
      <c r="N209" s="9" t="str">
        <f t="shared" si="13"/>
        <v/>
      </c>
      <c r="O209" s="20"/>
      <c r="Q209" s="606">
        <f t="shared" si="14"/>
        <v>0</v>
      </c>
      <c r="R209" s="606">
        <f t="shared" si="15"/>
        <v>0</v>
      </c>
    </row>
    <row r="210" spans="1:18">
      <c r="A210" s="563"/>
      <c r="B210" s="564"/>
      <c r="C210" s="568"/>
      <c r="D210" s="568"/>
      <c r="E210" s="3"/>
      <c r="F210" s="272"/>
      <c r="G210" s="272"/>
      <c r="H210" s="8"/>
      <c r="I210" s="5"/>
      <c r="J210" s="409">
        <f t="shared" si="12"/>
        <v>0</v>
      </c>
      <c r="K210" s="2"/>
      <c r="L210" s="8"/>
      <c r="M210" s="7"/>
      <c r="N210" s="9" t="str">
        <f t="shared" si="13"/>
        <v/>
      </c>
      <c r="O210" s="20"/>
      <c r="Q210" s="606">
        <f t="shared" si="14"/>
        <v>0</v>
      </c>
      <c r="R210" s="606">
        <f t="shared" si="15"/>
        <v>0</v>
      </c>
    </row>
    <row r="211" spans="1:18">
      <c r="A211" s="563"/>
      <c r="B211" s="564"/>
      <c r="C211" s="568"/>
      <c r="D211" s="568"/>
      <c r="E211" s="3"/>
      <c r="F211" s="272"/>
      <c r="G211" s="272"/>
      <c r="H211" s="8"/>
      <c r="I211" s="5"/>
      <c r="J211" s="409">
        <f t="shared" si="12"/>
        <v>0</v>
      </c>
      <c r="K211" s="2"/>
      <c r="L211" s="8"/>
      <c r="M211" s="7"/>
      <c r="N211" s="9" t="str">
        <f t="shared" si="13"/>
        <v/>
      </c>
      <c r="O211" s="20"/>
      <c r="Q211" s="606">
        <f t="shared" si="14"/>
        <v>0</v>
      </c>
      <c r="R211" s="606">
        <f t="shared" si="15"/>
        <v>0</v>
      </c>
    </row>
    <row r="212" spans="1:18">
      <c r="A212" s="563"/>
      <c r="B212" s="564"/>
      <c r="C212" s="568"/>
      <c r="D212" s="568"/>
      <c r="E212" s="3"/>
      <c r="F212" s="272"/>
      <c r="G212" s="272"/>
      <c r="H212" s="8"/>
      <c r="I212" s="5"/>
      <c r="J212" s="409">
        <f t="shared" si="12"/>
        <v>0</v>
      </c>
      <c r="K212" s="2"/>
      <c r="L212" s="8"/>
      <c r="M212" s="7"/>
      <c r="N212" s="9" t="str">
        <f t="shared" si="13"/>
        <v/>
      </c>
      <c r="O212" s="20"/>
      <c r="Q212" s="606">
        <f t="shared" si="14"/>
        <v>0</v>
      </c>
      <c r="R212" s="606">
        <f t="shared" si="15"/>
        <v>0</v>
      </c>
    </row>
    <row r="213" spans="1:18">
      <c r="A213" s="563"/>
      <c r="B213" s="564"/>
      <c r="C213" s="568"/>
      <c r="D213" s="568"/>
      <c r="E213" s="3"/>
      <c r="F213" s="272"/>
      <c r="G213" s="272"/>
      <c r="H213" s="8"/>
      <c r="I213" s="5"/>
      <c r="J213" s="409">
        <f t="shared" si="12"/>
        <v>0</v>
      </c>
      <c r="K213" s="2"/>
      <c r="L213" s="8"/>
      <c r="M213" s="7"/>
      <c r="N213" s="9" t="str">
        <f t="shared" si="13"/>
        <v/>
      </c>
      <c r="O213" s="20"/>
      <c r="Q213" s="606">
        <f t="shared" si="14"/>
        <v>0</v>
      </c>
      <c r="R213" s="606">
        <f t="shared" si="15"/>
        <v>0</v>
      </c>
    </row>
    <row r="214" spans="1:18">
      <c r="A214" s="563"/>
      <c r="B214" s="564"/>
      <c r="C214" s="568"/>
      <c r="D214" s="568"/>
      <c r="E214" s="3"/>
      <c r="F214" s="272"/>
      <c r="G214" s="272"/>
      <c r="H214" s="8"/>
      <c r="I214" s="5"/>
      <c r="J214" s="409">
        <f t="shared" si="12"/>
        <v>0</v>
      </c>
      <c r="K214" s="2"/>
      <c r="L214" s="8"/>
      <c r="M214" s="7"/>
      <c r="N214" s="9" t="str">
        <f t="shared" si="13"/>
        <v/>
      </c>
      <c r="O214" s="20"/>
      <c r="Q214" s="606">
        <f t="shared" si="14"/>
        <v>0</v>
      </c>
      <c r="R214" s="606">
        <f t="shared" si="15"/>
        <v>0</v>
      </c>
    </row>
    <row r="215" spans="1:18">
      <c r="A215" s="563"/>
      <c r="B215" s="564"/>
      <c r="C215" s="568"/>
      <c r="D215" s="568"/>
      <c r="E215" s="3"/>
      <c r="F215" s="272"/>
      <c r="G215" s="272"/>
      <c r="H215" s="8"/>
      <c r="I215" s="5"/>
      <c r="J215" s="409">
        <f t="shared" si="12"/>
        <v>0</v>
      </c>
      <c r="K215" s="2"/>
      <c r="L215" s="8"/>
      <c r="M215" s="7"/>
      <c r="N215" s="9" t="str">
        <f t="shared" si="13"/>
        <v/>
      </c>
      <c r="O215" s="20"/>
      <c r="Q215" s="606">
        <f t="shared" si="14"/>
        <v>0</v>
      </c>
      <c r="R215" s="606">
        <f t="shared" si="15"/>
        <v>0</v>
      </c>
    </row>
    <row r="216" spans="1:18">
      <c r="A216" s="563"/>
      <c r="B216" s="564"/>
      <c r="C216" s="568"/>
      <c r="D216" s="568"/>
      <c r="E216" s="3"/>
      <c r="F216" s="272"/>
      <c r="G216" s="272"/>
      <c r="H216" s="8"/>
      <c r="I216" s="5"/>
      <c r="J216" s="409">
        <f t="shared" si="12"/>
        <v>0</v>
      </c>
      <c r="K216" s="2"/>
      <c r="L216" s="8"/>
      <c r="M216" s="7"/>
      <c r="N216" s="9" t="str">
        <f t="shared" si="13"/>
        <v/>
      </c>
      <c r="O216" s="20"/>
      <c r="Q216" s="606">
        <f t="shared" si="14"/>
        <v>0</v>
      </c>
      <c r="R216" s="606">
        <f t="shared" si="15"/>
        <v>0</v>
      </c>
    </row>
    <row r="217" spans="1:18">
      <c r="A217" s="563"/>
      <c r="B217" s="564"/>
      <c r="C217" s="568"/>
      <c r="D217" s="568"/>
      <c r="E217" s="3"/>
      <c r="F217" s="272"/>
      <c r="G217" s="272"/>
      <c r="H217" s="8"/>
      <c r="I217" s="5"/>
      <c r="J217" s="409">
        <f t="shared" si="12"/>
        <v>0</v>
      </c>
      <c r="K217" s="2"/>
      <c r="L217" s="8"/>
      <c r="M217" s="7"/>
      <c r="N217" s="9" t="str">
        <f t="shared" si="13"/>
        <v/>
      </c>
      <c r="O217" s="20"/>
      <c r="Q217" s="606">
        <f t="shared" si="14"/>
        <v>0</v>
      </c>
      <c r="R217" s="606">
        <f t="shared" si="15"/>
        <v>0</v>
      </c>
    </row>
    <row r="218" spans="1:18">
      <c r="A218" s="563"/>
      <c r="B218" s="564"/>
      <c r="C218" s="568"/>
      <c r="D218" s="568"/>
      <c r="E218" s="3"/>
      <c r="F218" s="272"/>
      <c r="G218" s="272"/>
      <c r="H218" s="8"/>
      <c r="I218" s="5"/>
      <c r="J218" s="409">
        <f t="shared" si="12"/>
        <v>0</v>
      </c>
      <c r="K218" s="2"/>
      <c r="L218" s="8"/>
      <c r="M218" s="7"/>
      <c r="N218" s="9" t="str">
        <f t="shared" si="13"/>
        <v/>
      </c>
      <c r="O218" s="20"/>
      <c r="Q218" s="606">
        <f t="shared" si="14"/>
        <v>0</v>
      </c>
      <c r="R218" s="606">
        <f t="shared" si="15"/>
        <v>0</v>
      </c>
    </row>
    <row r="219" spans="1:18">
      <c r="A219" s="563"/>
      <c r="B219" s="564"/>
      <c r="C219" s="568"/>
      <c r="D219" s="568"/>
      <c r="E219" s="3"/>
      <c r="F219" s="272"/>
      <c r="G219" s="272"/>
      <c r="H219" s="8"/>
      <c r="I219" s="5"/>
      <c r="J219" s="409">
        <f t="shared" si="12"/>
        <v>0</v>
      </c>
      <c r="K219" s="2"/>
      <c r="L219" s="8"/>
      <c r="M219" s="7"/>
      <c r="N219" s="9" t="str">
        <f t="shared" si="13"/>
        <v/>
      </c>
      <c r="O219" s="20"/>
      <c r="Q219" s="606">
        <f t="shared" si="14"/>
        <v>0</v>
      </c>
      <c r="R219" s="606">
        <f t="shared" si="15"/>
        <v>0</v>
      </c>
    </row>
    <row r="220" spans="1:18">
      <c r="A220" s="563"/>
      <c r="B220" s="564"/>
      <c r="C220" s="568"/>
      <c r="D220" s="568"/>
      <c r="E220" s="3"/>
      <c r="F220" s="272"/>
      <c r="G220" s="272"/>
      <c r="H220" s="8"/>
      <c r="I220" s="5"/>
      <c r="J220" s="409">
        <f t="shared" si="12"/>
        <v>0</v>
      </c>
      <c r="K220" s="2"/>
      <c r="L220" s="8"/>
      <c r="M220" s="7"/>
      <c r="N220" s="9" t="str">
        <f t="shared" si="13"/>
        <v/>
      </c>
      <c r="O220" s="20"/>
      <c r="Q220" s="606">
        <f t="shared" si="14"/>
        <v>0</v>
      </c>
      <c r="R220" s="606">
        <f t="shared" si="15"/>
        <v>0</v>
      </c>
    </row>
    <row r="221" spans="1:18">
      <c r="A221" s="563"/>
      <c r="B221" s="564"/>
      <c r="C221" s="568"/>
      <c r="D221" s="568"/>
      <c r="E221" s="3"/>
      <c r="F221" s="272"/>
      <c r="G221" s="272"/>
      <c r="H221" s="8"/>
      <c r="I221" s="5"/>
      <c r="J221" s="409">
        <f t="shared" si="12"/>
        <v>0</v>
      </c>
      <c r="K221" s="2"/>
      <c r="L221" s="8"/>
      <c r="M221" s="7"/>
      <c r="N221" s="9" t="str">
        <f t="shared" si="13"/>
        <v/>
      </c>
      <c r="O221" s="20"/>
      <c r="Q221" s="606">
        <f t="shared" si="14"/>
        <v>0</v>
      </c>
      <c r="R221" s="606">
        <f t="shared" si="15"/>
        <v>0</v>
      </c>
    </row>
    <row r="222" spans="1:18">
      <c r="A222" s="563"/>
      <c r="B222" s="564"/>
      <c r="C222" s="568"/>
      <c r="D222" s="568"/>
      <c r="E222" s="3"/>
      <c r="F222" s="272"/>
      <c r="G222" s="272"/>
      <c r="H222" s="8"/>
      <c r="I222" s="5"/>
      <c r="J222" s="409">
        <f t="shared" si="12"/>
        <v>0</v>
      </c>
      <c r="K222" s="2"/>
      <c r="L222" s="8"/>
      <c r="M222" s="7"/>
      <c r="N222" s="9" t="str">
        <f t="shared" si="13"/>
        <v/>
      </c>
      <c r="O222" s="20"/>
      <c r="Q222" s="606">
        <f t="shared" si="14"/>
        <v>0</v>
      </c>
      <c r="R222" s="606">
        <f t="shared" si="15"/>
        <v>0</v>
      </c>
    </row>
    <row r="223" spans="1:18">
      <c r="A223" s="563"/>
      <c r="B223" s="564"/>
      <c r="C223" s="568"/>
      <c r="D223" s="568"/>
      <c r="E223" s="3"/>
      <c r="F223" s="272"/>
      <c r="G223" s="272"/>
      <c r="H223" s="8"/>
      <c r="I223" s="5"/>
      <c r="J223" s="409">
        <f t="shared" si="12"/>
        <v>0</v>
      </c>
      <c r="K223" s="2"/>
      <c r="L223" s="8"/>
      <c r="M223" s="7"/>
      <c r="N223" s="9" t="str">
        <f t="shared" si="13"/>
        <v/>
      </c>
      <c r="O223" s="20"/>
      <c r="Q223" s="606">
        <f t="shared" si="14"/>
        <v>0</v>
      </c>
      <c r="R223" s="606">
        <f t="shared" si="15"/>
        <v>0</v>
      </c>
    </row>
    <row r="224" spans="1:18">
      <c r="A224" s="563"/>
      <c r="B224" s="564"/>
      <c r="C224" s="568"/>
      <c r="D224" s="568"/>
      <c r="E224" s="3"/>
      <c r="F224" s="272"/>
      <c r="G224" s="272"/>
      <c r="H224" s="8"/>
      <c r="I224" s="5"/>
      <c r="J224" s="409">
        <f t="shared" si="12"/>
        <v>0</v>
      </c>
      <c r="K224" s="2"/>
      <c r="L224" s="8"/>
      <c r="M224" s="7"/>
      <c r="N224" s="9" t="str">
        <f t="shared" si="13"/>
        <v/>
      </c>
      <c r="O224" s="20"/>
      <c r="Q224" s="606">
        <f t="shared" si="14"/>
        <v>0</v>
      </c>
      <c r="R224" s="606">
        <f t="shared" si="15"/>
        <v>0</v>
      </c>
    </row>
    <row r="225" spans="1:18">
      <c r="A225" s="563"/>
      <c r="B225" s="564"/>
      <c r="C225" s="568"/>
      <c r="D225" s="568"/>
      <c r="E225" s="3"/>
      <c r="F225" s="272"/>
      <c r="G225" s="272"/>
      <c r="H225" s="8"/>
      <c r="I225" s="5"/>
      <c r="J225" s="409">
        <f t="shared" si="12"/>
        <v>0</v>
      </c>
      <c r="K225" s="2"/>
      <c r="L225" s="8"/>
      <c r="M225" s="7"/>
      <c r="N225" s="9" t="str">
        <f t="shared" si="13"/>
        <v/>
      </c>
      <c r="O225" s="20"/>
      <c r="Q225" s="606">
        <f t="shared" si="14"/>
        <v>0</v>
      </c>
      <c r="R225" s="606">
        <f t="shared" si="15"/>
        <v>0</v>
      </c>
    </row>
    <row r="226" spans="1:18">
      <c r="A226" s="563"/>
      <c r="B226" s="564"/>
      <c r="C226" s="568"/>
      <c r="D226" s="568"/>
      <c r="E226" s="3"/>
      <c r="F226" s="272"/>
      <c r="G226" s="272"/>
      <c r="H226" s="8"/>
      <c r="I226" s="5"/>
      <c r="J226" s="409">
        <f t="shared" si="12"/>
        <v>0</v>
      </c>
      <c r="K226" s="2"/>
      <c r="L226" s="8"/>
      <c r="M226" s="7"/>
      <c r="N226" s="9" t="str">
        <f t="shared" si="13"/>
        <v/>
      </c>
      <c r="O226" s="20"/>
      <c r="Q226" s="606">
        <f t="shared" si="14"/>
        <v>0</v>
      </c>
      <c r="R226" s="606">
        <f t="shared" si="15"/>
        <v>0</v>
      </c>
    </row>
    <row r="227" spans="1:18">
      <c r="A227" s="563"/>
      <c r="B227" s="564"/>
      <c r="C227" s="568"/>
      <c r="D227" s="568"/>
      <c r="E227" s="3"/>
      <c r="F227" s="272"/>
      <c r="G227" s="272"/>
      <c r="H227" s="8"/>
      <c r="I227" s="5"/>
      <c r="J227" s="409">
        <f t="shared" si="12"/>
        <v>0</v>
      </c>
      <c r="K227" s="2"/>
      <c r="L227" s="8"/>
      <c r="M227" s="7"/>
      <c r="N227" s="9" t="str">
        <f t="shared" si="13"/>
        <v/>
      </c>
      <c r="O227" s="20"/>
      <c r="Q227" s="606">
        <f t="shared" si="14"/>
        <v>0</v>
      </c>
      <c r="R227" s="606">
        <f t="shared" si="15"/>
        <v>0</v>
      </c>
    </row>
    <row r="228" spans="1:18">
      <c r="A228" s="563"/>
      <c r="B228" s="564"/>
      <c r="C228" s="568"/>
      <c r="D228" s="568"/>
      <c r="E228" s="3"/>
      <c r="F228" s="272"/>
      <c r="G228" s="272"/>
      <c r="H228" s="8"/>
      <c r="I228" s="5"/>
      <c r="J228" s="409">
        <f t="shared" si="12"/>
        <v>0</v>
      </c>
      <c r="K228" s="2"/>
      <c r="L228" s="8"/>
      <c r="M228" s="7"/>
      <c r="N228" s="9" t="str">
        <f t="shared" si="13"/>
        <v/>
      </c>
      <c r="O228" s="20"/>
      <c r="Q228" s="606">
        <f t="shared" si="14"/>
        <v>0</v>
      </c>
      <c r="R228" s="606">
        <f t="shared" si="15"/>
        <v>0</v>
      </c>
    </row>
    <row r="229" spans="1:18">
      <c r="A229" s="563"/>
      <c r="B229" s="564"/>
      <c r="C229" s="568"/>
      <c r="D229" s="568"/>
      <c r="E229" s="3"/>
      <c r="F229" s="272"/>
      <c r="G229" s="272"/>
      <c r="H229" s="8"/>
      <c r="I229" s="5"/>
      <c r="J229" s="409">
        <f t="shared" si="12"/>
        <v>0</v>
      </c>
      <c r="K229" s="2"/>
      <c r="L229" s="8"/>
      <c r="M229" s="7"/>
      <c r="N229" s="9" t="str">
        <f t="shared" si="13"/>
        <v/>
      </c>
      <c r="O229" s="20"/>
      <c r="Q229" s="606">
        <f t="shared" si="14"/>
        <v>0</v>
      </c>
      <c r="R229" s="606">
        <f t="shared" si="15"/>
        <v>0</v>
      </c>
    </row>
    <row r="230" spans="1:18">
      <c r="A230" s="563"/>
      <c r="B230" s="564"/>
      <c r="C230" s="568"/>
      <c r="D230" s="568"/>
      <c r="E230" s="3"/>
      <c r="F230" s="272"/>
      <c r="G230" s="272"/>
      <c r="H230" s="8"/>
      <c r="I230" s="5"/>
      <c r="J230" s="409">
        <f t="shared" si="12"/>
        <v>0</v>
      </c>
      <c r="K230" s="2"/>
      <c r="L230" s="8"/>
      <c r="M230" s="7"/>
      <c r="N230" s="9" t="str">
        <f t="shared" si="13"/>
        <v/>
      </c>
      <c r="O230" s="20"/>
      <c r="Q230" s="606">
        <f t="shared" si="14"/>
        <v>0</v>
      </c>
      <c r="R230" s="606">
        <f t="shared" si="15"/>
        <v>0</v>
      </c>
    </row>
    <row r="231" spans="1:18">
      <c r="A231" s="563"/>
      <c r="B231" s="564"/>
      <c r="C231" s="568"/>
      <c r="D231" s="568"/>
      <c r="E231" s="3"/>
      <c r="F231" s="272"/>
      <c r="G231" s="272"/>
      <c r="H231" s="8"/>
      <c r="I231" s="5"/>
      <c r="J231" s="409">
        <f t="shared" si="12"/>
        <v>0</v>
      </c>
      <c r="K231" s="2"/>
      <c r="L231" s="8"/>
      <c r="M231" s="7"/>
      <c r="N231" s="9" t="str">
        <f t="shared" si="13"/>
        <v/>
      </c>
      <c r="O231" s="20"/>
      <c r="Q231" s="606">
        <f t="shared" si="14"/>
        <v>0</v>
      </c>
      <c r="R231" s="606">
        <f t="shared" si="15"/>
        <v>0</v>
      </c>
    </row>
    <row r="232" spans="1:18">
      <c r="A232" s="563"/>
      <c r="B232" s="564"/>
      <c r="C232" s="568"/>
      <c r="D232" s="568"/>
      <c r="E232" s="3"/>
      <c r="F232" s="272"/>
      <c r="G232" s="272"/>
      <c r="H232" s="8"/>
      <c r="I232" s="5"/>
      <c r="J232" s="409">
        <f t="shared" si="12"/>
        <v>0</v>
      </c>
      <c r="K232" s="2"/>
      <c r="L232" s="8"/>
      <c r="M232" s="7"/>
      <c r="N232" s="9" t="str">
        <f t="shared" si="13"/>
        <v/>
      </c>
      <c r="O232" s="20"/>
      <c r="Q232" s="606">
        <f t="shared" si="14"/>
        <v>0</v>
      </c>
      <c r="R232" s="606">
        <f t="shared" si="15"/>
        <v>0</v>
      </c>
    </row>
    <row r="233" spans="1:18">
      <c r="A233" s="563"/>
      <c r="B233" s="564"/>
      <c r="C233" s="568"/>
      <c r="D233" s="568"/>
      <c r="E233" s="3"/>
      <c r="F233" s="272"/>
      <c r="G233" s="272"/>
      <c r="H233" s="8"/>
      <c r="I233" s="5"/>
      <c r="J233" s="409">
        <f t="shared" si="12"/>
        <v>0</v>
      </c>
      <c r="K233" s="2"/>
      <c r="L233" s="8"/>
      <c r="M233" s="7"/>
      <c r="N233" s="9" t="str">
        <f t="shared" si="13"/>
        <v/>
      </c>
      <c r="O233" s="20"/>
      <c r="Q233" s="606">
        <f t="shared" si="14"/>
        <v>0</v>
      </c>
      <c r="R233" s="606">
        <f t="shared" si="15"/>
        <v>0</v>
      </c>
    </row>
    <row r="234" spans="1:18">
      <c r="A234" s="563"/>
      <c r="B234" s="564"/>
      <c r="C234" s="568"/>
      <c r="D234" s="568"/>
      <c r="E234" s="3"/>
      <c r="F234" s="272"/>
      <c r="G234" s="272"/>
      <c r="H234" s="8"/>
      <c r="I234" s="5"/>
      <c r="J234" s="409">
        <f t="shared" si="12"/>
        <v>0</v>
      </c>
      <c r="K234" s="2"/>
      <c r="L234" s="8"/>
      <c r="M234" s="7"/>
      <c r="N234" s="9" t="str">
        <f t="shared" si="13"/>
        <v/>
      </c>
      <c r="O234" s="20"/>
      <c r="Q234" s="606">
        <f t="shared" si="14"/>
        <v>0</v>
      </c>
      <c r="R234" s="606">
        <f t="shared" si="15"/>
        <v>0</v>
      </c>
    </row>
    <row r="235" spans="1:18">
      <c r="A235" s="563"/>
      <c r="B235" s="564"/>
      <c r="C235" s="568"/>
      <c r="D235" s="568"/>
      <c r="E235" s="3"/>
      <c r="F235" s="272"/>
      <c r="G235" s="272"/>
      <c r="H235" s="8"/>
      <c r="I235" s="5"/>
      <c r="J235" s="409">
        <f t="shared" si="12"/>
        <v>0</v>
      </c>
      <c r="K235" s="2"/>
      <c r="L235" s="8"/>
      <c r="M235" s="7"/>
      <c r="N235" s="9" t="str">
        <f t="shared" si="13"/>
        <v/>
      </c>
      <c r="O235" s="20"/>
      <c r="Q235" s="606">
        <f t="shared" si="14"/>
        <v>0</v>
      </c>
      <c r="R235" s="606">
        <f t="shared" si="15"/>
        <v>0</v>
      </c>
    </row>
    <row r="236" spans="1:18">
      <c r="A236" s="563"/>
      <c r="B236" s="564"/>
      <c r="C236" s="568"/>
      <c r="D236" s="568"/>
      <c r="E236" s="3"/>
      <c r="F236" s="272"/>
      <c r="G236" s="272"/>
      <c r="H236" s="8"/>
      <c r="I236" s="5"/>
      <c r="J236" s="409">
        <f t="shared" si="12"/>
        <v>0</v>
      </c>
      <c r="K236" s="2"/>
      <c r="L236" s="8"/>
      <c r="M236" s="7"/>
      <c r="N236" s="9" t="str">
        <f t="shared" si="13"/>
        <v/>
      </c>
      <c r="O236" s="20"/>
      <c r="Q236" s="606">
        <f t="shared" si="14"/>
        <v>0</v>
      </c>
      <c r="R236" s="606">
        <f t="shared" si="15"/>
        <v>0</v>
      </c>
    </row>
    <row r="237" spans="1:18">
      <c r="A237" s="563"/>
      <c r="B237" s="564"/>
      <c r="C237" s="568"/>
      <c r="D237" s="568"/>
      <c r="E237" s="3"/>
      <c r="F237" s="272"/>
      <c r="G237" s="272"/>
      <c r="H237" s="8"/>
      <c r="I237" s="5"/>
      <c r="J237" s="409">
        <f t="shared" si="12"/>
        <v>0</v>
      </c>
      <c r="K237" s="2"/>
      <c r="L237" s="8"/>
      <c r="M237" s="7"/>
      <c r="N237" s="9" t="str">
        <f t="shared" si="13"/>
        <v/>
      </c>
      <c r="O237" s="20"/>
      <c r="Q237" s="606">
        <f t="shared" si="14"/>
        <v>0</v>
      </c>
      <c r="R237" s="606">
        <f t="shared" si="15"/>
        <v>0</v>
      </c>
    </row>
    <row r="238" spans="1:18">
      <c r="A238" s="563"/>
      <c r="B238" s="564"/>
      <c r="C238" s="568"/>
      <c r="D238" s="568"/>
      <c r="E238" s="3"/>
      <c r="F238" s="272"/>
      <c r="G238" s="272"/>
      <c r="H238" s="8"/>
      <c r="I238" s="5"/>
      <c r="J238" s="409">
        <f t="shared" si="12"/>
        <v>0</v>
      </c>
      <c r="K238" s="2"/>
      <c r="L238" s="8"/>
      <c r="M238" s="7"/>
      <c r="N238" s="9" t="str">
        <f t="shared" si="13"/>
        <v/>
      </c>
      <c r="O238" s="20"/>
      <c r="Q238" s="606">
        <f t="shared" si="14"/>
        <v>0</v>
      </c>
      <c r="R238" s="606">
        <f t="shared" si="15"/>
        <v>0</v>
      </c>
    </row>
    <row r="239" spans="1:18">
      <c r="A239" s="563"/>
      <c r="B239" s="564"/>
      <c r="C239" s="568"/>
      <c r="D239" s="568"/>
      <c r="E239" s="3"/>
      <c r="F239" s="272"/>
      <c r="G239" s="272"/>
      <c r="H239" s="8"/>
      <c r="I239" s="5"/>
      <c r="J239" s="409">
        <f t="shared" si="12"/>
        <v>0</v>
      </c>
      <c r="K239" s="2"/>
      <c r="L239" s="8"/>
      <c r="M239" s="7"/>
      <c r="N239" s="9" t="str">
        <f t="shared" si="13"/>
        <v/>
      </c>
      <c r="O239" s="20"/>
      <c r="Q239" s="606">
        <f t="shared" si="14"/>
        <v>0</v>
      </c>
      <c r="R239" s="606">
        <f t="shared" si="15"/>
        <v>0</v>
      </c>
    </row>
    <row r="240" spans="1:18">
      <c r="A240" s="563"/>
      <c r="B240" s="564"/>
      <c r="C240" s="568"/>
      <c r="D240" s="568"/>
      <c r="E240" s="3"/>
      <c r="F240" s="272"/>
      <c r="G240" s="272"/>
      <c r="H240" s="8"/>
      <c r="I240" s="5"/>
      <c r="J240" s="409">
        <f t="shared" si="12"/>
        <v>0</v>
      </c>
      <c r="K240" s="2"/>
      <c r="L240" s="8"/>
      <c r="M240" s="7"/>
      <c r="N240" s="9" t="str">
        <f t="shared" si="13"/>
        <v/>
      </c>
      <c r="O240" s="20"/>
      <c r="Q240" s="606">
        <f t="shared" si="14"/>
        <v>0</v>
      </c>
      <c r="R240" s="606">
        <f t="shared" si="15"/>
        <v>0</v>
      </c>
    </row>
    <row r="241" spans="1:18">
      <c r="A241" s="563"/>
      <c r="B241" s="564"/>
      <c r="C241" s="568"/>
      <c r="D241" s="568"/>
      <c r="E241" s="3"/>
      <c r="F241" s="272"/>
      <c r="G241" s="272"/>
      <c r="H241" s="8"/>
      <c r="I241" s="5"/>
      <c r="J241" s="409">
        <f t="shared" si="12"/>
        <v>0</v>
      </c>
      <c r="K241" s="2"/>
      <c r="L241" s="8"/>
      <c r="M241" s="7"/>
      <c r="N241" s="9" t="str">
        <f t="shared" si="13"/>
        <v/>
      </c>
      <c r="O241" s="20"/>
      <c r="Q241" s="606">
        <f t="shared" si="14"/>
        <v>0</v>
      </c>
      <c r="R241" s="606">
        <f t="shared" si="15"/>
        <v>0</v>
      </c>
    </row>
    <row r="242" spans="1:18">
      <c r="A242" s="563"/>
      <c r="B242" s="564"/>
      <c r="C242" s="568"/>
      <c r="D242" s="568"/>
      <c r="E242" s="3"/>
      <c r="F242" s="272"/>
      <c r="G242" s="272"/>
      <c r="H242" s="8"/>
      <c r="I242" s="5"/>
      <c r="J242" s="409">
        <f t="shared" si="12"/>
        <v>0</v>
      </c>
      <c r="K242" s="2"/>
      <c r="L242" s="8"/>
      <c r="M242" s="7"/>
      <c r="N242" s="9" t="str">
        <f t="shared" si="13"/>
        <v/>
      </c>
      <c r="O242" s="20"/>
      <c r="Q242" s="606">
        <f t="shared" si="14"/>
        <v>0</v>
      </c>
      <c r="R242" s="606">
        <f t="shared" si="15"/>
        <v>0</v>
      </c>
    </row>
    <row r="243" spans="1:18">
      <c r="A243" s="563"/>
      <c r="B243" s="564"/>
      <c r="C243" s="568"/>
      <c r="D243" s="568"/>
      <c r="E243" s="3"/>
      <c r="F243" s="272"/>
      <c r="G243" s="272"/>
      <c r="H243" s="8"/>
      <c r="I243" s="5"/>
      <c r="J243" s="409">
        <f t="shared" si="12"/>
        <v>0</v>
      </c>
      <c r="K243" s="2"/>
      <c r="L243" s="8"/>
      <c r="M243" s="7"/>
      <c r="N243" s="9" t="str">
        <f t="shared" si="13"/>
        <v/>
      </c>
      <c r="O243" s="20"/>
      <c r="Q243" s="606">
        <f t="shared" si="14"/>
        <v>0</v>
      </c>
      <c r="R243" s="606">
        <f t="shared" si="15"/>
        <v>0</v>
      </c>
    </row>
    <row r="244" spans="1:18">
      <c r="A244" s="563"/>
      <c r="B244" s="564"/>
      <c r="C244" s="568"/>
      <c r="D244" s="568"/>
      <c r="E244" s="3"/>
      <c r="F244" s="272"/>
      <c r="G244" s="272"/>
      <c r="H244" s="8"/>
      <c r="I244" s="5"/>
      <c r="J244" s="409">
        <f t="shared" si="12"/>
        <v>0</v>
      </c>
      <c r="K244" s="2"/>
      <c r="L244" s="8"/>
      <c r="M244" s="7"/>
      <c r="N244" s="9" t="str">
        <f t="shared" si="13"/>
        <v/>
      </c>
      <c r="O244" s="20"/>
      <c r="Q244" s="606">
        <f t="shared" si="14"/>
        <v>0</v>
      </c>
      <c r="R244" s="606">
        <f t="shared" si="15"/>
        <v>0</v>
      </c>
    </row>
    <row r="245" spans="1:18">
      <c r="A245" s="563"/>
      <c r="B245" s="564"/>
      <c r="C245" s="568"/>
      <c r="D245" s="568"/>
      <c r="E245" s="3"/>
      <c r="F245" s="272"/>
      <c r="G245" s="272"/>
      <c r="H245" s="8"/>
      <c r="I245" s="5"/>
      <c r="J245" s="409">
        <f t="shared" si="12"/>
        <v>0</v>
      </c>
      <c r="K245" s="2"/>
      <c r="L245" s="8"/>
      <c r="M245" s="7"/>
      <c r="N245" s="9" t="str">
        <f t="shared" si="13"/>
        <v/>
      </c>
      <c r="O245" s="20"/>
      <c r="Q245" s="606">
        <f t="shared" si="14"/>
        <v>0</v>
      </c>
      <c r="R245" s="606">
        <f t="shared" si="15"/>
        <v>0</v>
      </c>
    </row>
    <row r="246" spans="1:18">
      <c r="A246" s="563"/>
      <c r="B246" s="564"/>
      <c r="C246" s="568"/>
      <c r="D246" s="568"/>
      <c r="E246" s="3"/>
      <c r="F246" s="272"/>
      <c r="G246" s="272"/>
      <c r="H246" s="8"/>
      <c r="I246" s="5"/>
      <c r="J246" s="409">
        <f t="shared" si="12"/>
        <v>0</v>
      </c>
      <c r="K246" s="2"/>
      <c r="L246" s="8"/>
      <c r="M246" s="7"/>
      <c r="N246" s="9" t="str">
        <f t="shared" si="13"/>
        <v/>
      </c>
      <c r="O246" s="20"/>
      <c r="Q246" s="606">
        <f t="shared" si="14"/>
        <v>0</v>
      </c>
      <c r="R246" s="606">
        <f t="shared" si="15"/>
        <v>0</v>
      </c>
    </row>
    <row r="247" spans="1:18">
      <c r="A247" s="563"/>
      <c r="B247" s="564"/>
      <c r="C247" s="568"/>
      <c r="D247" s="568"/>
      <c r="E247" s="3"/>
      <c r="F247" s="272"/>
      <c r="G247" s="272"/>
      <c r="H247" s="8"/>
      <c r="I247" s="5"/>
      <c r="J247" s="409">
        <f t="shared" si="12"/>
        <v>0</v>
      </c>
      <c r="K247" s="2"/>
      <c r="L247" s="8"/>
      <c r="M247" s="7"/>
      <c r="N247" s="9" t="str">
        <f t="shared" si="13"/>
        <v/>
      </c>
      <c r="O247" s="20"/>
      <c r="Q247" s="606">
        <f t="shared" si="14"/>
        <v>0</v>
      </c>
      <c r="R247" s="606">
        <f t="shared" si="15"/>
        <v>0</v>
      </c>
    </row>
    <row r="248" spans="1:18">
      <c r="A248" s="563"/>
      <c r="B248" s="564"/>
      <c r="C248" s="568"/>
      <c r="D248" s="568"/>
      <c r="E248" s="3"/>
      <c r="F248" s="272"/>
      <c r="G248" s="272"/>
      <c r="H248" s="8"/>
      <c r="I248" s="5"/>
      <c r="J248" s="409">
        <f t="shared" si="12"/>
        <v>0</v>
      </c>
      <c r="K248" s="2"/>
      <c r="L248" s="8"/>
      <c r="M248" s="7"/>
      <c r="N248" s="9" t="str">
        <f t="shared" si="13"/>
        <v/>
      </c>
      <c r="O248" s="20"/>
      <c r="Q248" s="606">
        <f t="shared" si="14"/>
        <v>0</v>
      </c>
      <c r="R248" s="606">
        <f t="shared" si="15"/>
        <v>0</v>
      </c>
    </row>
    <row r="249" spans="1:18">
      <c r="A249" s="563"/>
      <c r="B249" s="564"/>
      <c r="C249" s="568"/>
      <c r="D249" s="568"/>
      <c r="E249" s="3"/>
      <c r="F249" s="272"/>
      <c r="G249" s="272"/>
      <c r="H249" s="8"/>
      <c r="I249" s="5"/>
      <c r="J249" s="409">
        <f t="shared" si="12"/>
        <v>0</v>
      </c>
      <c r="K249" s="2"/>
      <c r="L249" s="8"/>
      <c r="M249" s="7"/>
      <c r="N249" s="9" t="str">
        <f t="shared" si="13"/>
        <v/>
      </c>
      <c r="O249" s="20"/>
      <c r="Q249" s="606">
        <f t="shared" si="14"/>
        <v>0</v>
      </c>
      <c r="R249" s="606">
        <f t="shared" si="15"/>
        <v>0</v>
      </c>
    </row>
    <row r="250" spans="1:18">
      <c r="A250" s="563"/>
      <c r="B250" s="564"/>
      <c r="C250" s="568"/>
      <c r="D250" s="568"/>
      <c r="E250" s="3"/>
      <c r="F250" s="272"/>
      <c r="G250" s="272"/>
      <c r="H250" s="8"/>
      <c r="I250" s="5"/>
      <c r="J250" s="409">
        <f t="shared" si="12"/>
        <v>0</v>
      </c>
      <c r="K250" s="2"/>
      <c r="L250" s="8"/>
      <c r="M250" s="7"/>
      <c r="N250" s="9" t="str">
        <f t="shared" si="13"/>
        <v/>
      </c>
      <c r="O250" s="20"/>
      <c r="Q250" s="606">
        <f t="shared" si="14"/>
        <v>0</v>
      </c>
      <c r="R250" s="606">
        <f t="shared" si="15"/>
        <v>0</v>
      </c>
    </row>
    <row r="251" spans="1:18">
      <c r="A251" s="563"/>
      <c r="B251" s="564"/>
      <c r="C251" s="568"/>
      <c r="D251" s="568"/>
      <c r="E251" s="3"/>
      <c r="F251" s="272"/>
      <c r="G251" s="272"/>
      <c r="H251" s="8"/>
      <c r="I251" s="5"/>
      <c r="J251" s="409">
        <f t="shared" si="12"/>
        <v>0</v>
      </c>
      <c r="K251" s="2"/>
      <c r="L251" s="8"/>
      <c r="M251" s="7"/>
      <c r="N251" s="9" t="str">
        <f t="shared" si="13"/>
        <v/>
      </c>
      <c r="O251" s="20"/>
      <c r="Q251" s="606">
        <f t="shared" si="14"/>
        <v>0</v>
      </c>
      <c r="R251" s="606">
        <f t="shared" si="15"/>
        <v>0</v>
      </c>
    </row>
    <row r="252" spans="1:18">
      <c r="A252" s="572"/>
      <c r="B252" s="573"/>
      <c r="C252" s="574"/>
      <c r="D252" s="574"/>
      <c r="E252" s="3"/>
      <c r="F252" s="273"/>
      <c r="G252" s="273"/>
      <c r="H252" s="28"/>
      <c r="I252" s="270"/>
      <c r="J252" s="410">
        <f t="shared" si="12"/>
        <v>0</v>
      </c>
      <c r="K252" s="26"/>
      <c r="L252" s="28"/>
      <c r="M252" s="27"/>
      <c r="N252" s="29" t="str">
        <f t="shared" si="13"/>
        <v/>
      </c>
      <c r="O252" s="20"/>
      <c r="Q252" s="606">
        <f t="shared" si="14"/>
        <v>0</v>
      </c>
      <c r="R252" s="606">
        <f t="shared" si="15"/>
        <v>0</v>
      </c>
    </row>
    <row r="253" spans="1:18">
      <c r="A253" s="575"/>
      <c r="B253" s="576"/>
      <c r="C253" s="567"/>
      <c r="D253" s="567"/>
      <c r="E253" s="3"/>
      <c r="F253" s="272"/>
      <c r="G253" s="272"/>
      <c r="H253" s="8"/>
      <c r="I253" s="8"/>
      <c r="J253" s="411">
        <f t="shared" si="12"/>
        <v>0</v>
      </c>
      <c r="K253" s="35"/>
      <c r="L253" s="8"/>
      <c r="M253" s="7"/>
      <c r="N253" s="9" t="str">
        <f t="shared" si="13"/>
        <v/>
      </c>
      <c r="O253" s="20"/>
      <c r="Q253" s="606">
        <f t="shared" si="14"/>
        <v>0</v>
      </c>
      <c r="R253" s="606">
        <f t="shared" si="15"/>
        <v>0</v>
      </c>
    </row>
    <row r="254" spans="1:18">
      <c r="A254" s="575"/>
      <c r="B254" s="576"/>
      <c r="C254" s="567"/>
      <c r="D254" s="567"/>
      <c r="E254" s="3"/>
      <c r="F254" s="272"/>
      <c r="G254" s="272"/>
      <c r="H254" s="8"/>
      <c r="I254" s="8"/>
      <c r="J254" s="411">
        <f t="shared" si="12"/>
        <v>0</v>
      </c>
      <c r="K254" s="35"/>
      <c r="L254" s="8"/>
      <c r="M254" s="7"/>
      <c r="N254" s="9" t="str">
        <f t="shared" si="13"/>
        <v/>
      </c>
      <c r="O254" s="20"/>
      <c r="Q254" s="606">
        <f t="shared" si="14"/>
        <v>0</v>
      </c>
      <c r="R254" s="606">
        <f t="shared" si="15"/>
        <v>0</v>
      </c>
    </row>
    <row r="255" spans="1:18">
      <c r="A255" s="575"/>
      <c r="B255" s="576"/>
      <c r="C255" s="567"/>
      <c r="D255" s="567"/>
      <c r="E255" s="3"/>
      <c r="F255" s="272"/>
      <c r="G255" s="272"/>
      <c r="H255" s="8"/>
      <c r="I255" s="8"/>
      <c r="J255" s="411">
        <f t="shared" si="12"/>
        <v>0</v>
      </c>
      <c r="K255" s="35"/>
      <c r="L255" s="8"/>
      <c r="M255" s="7"/>
      <c r="N255" s="9" t="str">
        <f t="shared" si="13"/>
        <v/>
      </c>
      <c r="O255" s="20"/>
      <c r="Q255" s="606">
        <f t="shared" si="14"/>
        <v>0</v>
      </c>
      <c r="R255" s="606">
        <f t="shared" si="15"/>
        <v>0</v>
      </c>
    </row>
    <row r="256" spans="1:18">
      <c r="A256" s="575"/>
      <c r="B256" s="576"/>
      <c r="C256" s="567"/>
      <c r="D256" s="567"/>
      <c r="E256" s="3"/>
      <c r="F256" s="272"/>
      <c r="G256" s="272"/>
      <c r="H256" s="8"/>
      <c r="I256" s="8"/>
      <c r="J256" s="411">
        <f t="shared" si="12"/>
        <v>0</v>
      </c>
      <c r="K256" s="35"/>
      <c r="L256" s="8"/>
      <c r="M256" s="7"/>
      <c r="N256" s="9" t="str">
        <f t="shared" si="13"/>
        <v/>
      </c>
      <c r="O256" s="20"/>
      <c r="Q256" s="606">
        <f t="shared" si="14"/>
        <v>0</v>
      </c>
      <c r="R256" s="606">
        <f t="shared" si="15"/>
        <v>0</v>
      </c>
    </row>
    <row r="257" spans="1:18">
      <c r="A257" s="575"/>
      <c r="B257" s="576"/>
      <c r="C257" s="567"/>
      <c r="D257" s="567"/>
      <c r="E257" s="3"/>
      <c r="F257" s="272"/>
      <c r="G257" s="272"/>
      <c r="H257" s="8"/>
      <c r="I257" s="8"/>
      <c r="J257" s="411">
        <f t="shared" si="12"/>
        <v>0</v>
      </c>
      <c r="K257" s="35"/>
      <c r="L257" s="8"/>
      <c r="M257" s="7"/>
      <c r="N257" s="9" t="str">
        <f t="shared" si="13"/>
        <v/>
      </c>
      <c r="O257" s="20"/>
      <c r="Q257" s="606">
        <f t="shared" si="14"/>
        <v>0</v>
      </c>
      <c r="R257" s="606">
        <f t="shared" si="15"/>
        <v>0</v>
      </c>
    </row>
    <row r="258" spans="1:18">
      <c r="A258" s="575"/>
      <c r="B258" s="576"/>
      <c r="C258" s="567"/>
      <c r="D258" s="567"/>
      <c r="E258" s="3"/>
      <c r="F258" s="272"/>
      <c r="G258" s="272"/>
      <c r="H258" s="8"/>
      <c r="I258" s="8"/>
      <c r="J258" s="411">
        <f t="shared" si="12"/>
        <v>0</v>
      </c>
      <c r="K258" s="35"/>
      <c r="L258" s="8"/>
      <c r="M258" s="7"/>
      <c r="N258" s="9" t="str">
        <f t="shared" si="13"/>
        <v/>
      </c>
      <c r="O258" s="20"/>
      <c r="Q258" s="606">
        <f t="shared" si="14"/>
        <v>0</v>
      </c>
      <c r="R258" s="606">
        <f t="shared" si="15"/>
        <v>0</v>
      </c>
    </row>
    <row r="259" spans="1:18">
      <c r="A259" s="575"/>
      <c r="B259" s="576"/>
      <c r="C259" s="567"/>
      <c r="D259" s="567"/>
      <c r="E259" s="3"/>
      <c r="F259" s="272"/>
      <c r="G259" s="272"/>
      <c r="H259" s="8"/>
      <c r="I259" s="8"/>
      <c r="J259" s="411">
        <f t="shared" si="12"/>
        <v>0</v>
      </c>
      <c r="K259" s="35"/>
      <c r="L259" s="8"/>
      <c r="M259" s="7"/>
      <c r="N259" s="9" t="str">
        <f t="shared" si="13"/>
        <v/>
      </c>
      <c r="O259" s="20"/>
      <c r="Q259" s="606">
        <f t="shared" si="14"/>
        <v>0</v>
      </c>
      <c r="R259" s="606">
        <f t="shared" si="15"/>
        <v>0</v>
      </c>
    </row>
    <row r="260" spans="1:18">
      <c r="A260" s="575"/>
      <c r="B260" s="576"/>
      <c r="C260" s="567"/>
      <c r="D260" s="567"/>
      <c r="E260" s="3"/>
      <c r="F260" s="272"/>
      <c r="G260" s="272"/>
      <c r="H260" s="8"/>
      <c r="I260" s="8"/>
      <c r="J260" s="411">
        <f t="shared" si="12"/>
        <v>0</v>
      </c>
      <c r="K260" s="35"/>
      <c r="L260" s="8"/>
      <c r="M260" s="7"/>
      <c r="N260" s="9" t="str">
        <f t="shared" si="13"/>
        <v/>
      </c>
      <c r="O260" s="20"/>
      <c r="Q260" s="606">
        <f t="shared" si="14"/>
        <v>0</v>
      </c>
      <c r="R260" s="606">
        <f t="shared" si="15"/>
        <v>0</v>
      </c>
    </row>
    <row r="261" spans="1:18">
      <c r="A261" s="575"/>
      <c r="B261" s="576"/>
      <c r="C261" s="567"/>
      <c r="D261" s="567"/>
      <c r="E261" s="3"/>
      <c r="F261" s="272"/>
      <c r="G261" s="272"/>
      <c r="H261" s="8"/>
      <c r="I261" s="8"/>
      <c r="J261" s="411">
        <f t="shared" si="12"/>
        <v>0</v>
      </c>
      <c r="K261" s="35"/>
      <c r="L261" s="8"/>
      <c r="M261" s="7"/>
      <c r="N261" s="9" t="str">
        <f t="shared" si="13"/>
        <v/>
      </c>
      <c r="O261" s="20"/>
      <c r="Q261" s="606">
        <f t="shared" si="14"/>
        <v>0</v>
      </c>
      <c r="R261" s="606">
        <f t="shared" si="15"/>
        <v>0</v>
      </c>
    </row>
    <row r="262" spans="1:18">
      <c r="A262" s="575"/>
      <c r="B262" s="576"/>
      <c r="C262" s="567"/>
      <c r="D262" s="567"/>
      <c r="E262" s="3"/>
      <c r="F262" s="272"/>
      <c r="G262" s="272"/>
      <c r="H262" s="8"/>
      <c r="I262" s="8"/>
      <c r="J262" s="411">
        <f t="shared" ref="J262:J325" si="16">(+F262*G262+H262*I262)*E262</f>
        <v>0</v>
      </c>
      <c r="K262" s="35"/>
      <c r="L262" s="8"/>
      <c r="M262" s="7"/>
      <c r="N262" s="9" t="str">
        <f t="shared" ref="N262:N325" si="17">IF(K262=0,"",L262*M262*E262)</f>
        <v/>
      </c>
      <c r="O262" s="20"/>
      <c r="Q262" s="606">
        <f t="shared" ref="Q262:Q325" si="18">F262*G262*E262</f>
        <v>0</v>
      </c>
      <c r="R262" s="606">
        <f t="shared" ref="R262:R325" si="19">H262*E262*I262</f>
        <v>0</v>
      </c>
    </row>
    <row r="263" spans="1:18">
      <c r="A263" s="575"/>
      <c r="B263" s="576"/>
      <c r="C263" s="567"/>
      <c r="D263" s="567"/>
      <c r="E263" s="3"/>
      <c r="F263" s="272"/>
      <c r="G263" s="272"/>
      <c r="H263" s="8"/>
      <c r="I263" s="8"/>
      <c r="J263" s="411">
        <f t="shared" si="16"/>
        <v>0</v>
      </c>
      <c r="K263" s="35"/>
      <c r="L263" s="8"/>
      <c r="M263" s="7"/>
      <c r="N263" s="9" t="str">
        <f t="shared" si="17"/>
        <v/>
      </c>
      <c r="O263" s="20"/>
      <c r="Q263" s="606">
        <f t="shared" si="18"/>
        <v>0</v>
      </c>
      <c r="R263" s="606">
        <f t="shared" si="19"/>
        <v>0</v>
      </c>
    </row>
    <row r="264" spans="1:18">
      <c r="A264" s="575"/>
      <c r="B264" s="576"/>
      <c r="C264" s="567"/>
      <c r="D264" s="567"/>
      <c r="E264" s="3"/>
      <c r="F264" s="272"/>
      <c r="G264" s="272"/>
      <c r="H264" s="8"/>
      <c r="I264" s="8"/>
      <c r="J264" s="411">
        <f t="shared" si="16"/>
        <v>0</v>
      </c>
      <c r="K264" s="35"/>
      <c r="L264" s="8"/>
      <c r="M264" s="7"/>
      <c r="N264" s="9" t="str">
        <f t="shared" si="17"/>
        <v/>
      </c>
      <c r="O264" s="20"/>
      <c r="Q264" s="606">
        <f t="shared" si="18"/>
        <v>0</v>
      </c>
      <c r="R264" s="606">
        <f t="shared" si="19"/>
        <v>0</v>
      </c>
    </row>
    <row r="265" spans="1:18">
      <c r="A265" s="575"/>
      <c r="B265" s="576"/>
      <c r="C265" s="567"/>
      <c r="D265" s="567"/>
      <c r="E265" s="3"/>
      <c r="F265" s="272"/>
      <c r="G265" s="272"/>
      <c r="H265" s="8"/>
      <c r="I265" s="8"/>
      <c r="J265" s="411">
        <f t="shared" si="16"/>
        <v>0</v>
      </c>
      <c r="K265" s="35"/>
      <c r="L265" s="8"/>
      <c r="M265" s="7"/>
      <c r="N265" s="9" t="str">
        <f t="shared" si="17"/>
        <v/>
      </c>
      <c r="O265" s="20"/>
      <c r="Q265" s="606">
        <f t="shared" si="18"/>
        <v>0</v>
      </c>
      <c r="R265" s="606">
        <f t="shared" si="19"/>
        <v>0</v>
      </c>
    </row>
    <row r="266" spans="1:18">
      <c r="A266" s="575"/>
      <c r="B266" s="576"/>
      <c r="C266" s="567"/>
      <c r="D266" s="567"/>
      <c r="E266" s="3"/>
      <c r="F266" s="272"/>
      <c r="G266" s="272"/>
      <c r="H266" s="8"/>
      <c r="I266" s="8"/>
      <c r="J266" s="411">
        <f t="shared" si="16"/>
        <v>0</v>
      </c>
      <c r="K266" s="35"/>
      <c r="L266" s="8"/>
      <c r="M266" s="7"/>
      <c r="N266" s="9" t="str">
        <f t="shared" si="17"/>
        <v/>
      </c>
      <c r="O266" s="20"/>
      <c r="Q266" s="606">
        <f t="shared" si="18"/>
        <v>0</v>
      </c>
      <c r="R266" s="606">
        <f t="shared" si="19"/>
        <v>0</v>
      </c>
    </row>
    <row r="267" spans="1:18">
      <c r="A267" s="575"/>
      <c r="B267" s="576"/>
      <c r="C267" s="567"/>
      <c r="D267" s="567"/>
      <c r="E267" s="3"/>
      <c r="F267" s="272"/>
      <c r="G267" s="272"/>
      <c r="H267" s="8"/>
      <c r="I267" s="8"/>
      <c r="J267" s="411">
        <f t="shared" si="16"/>
        <v>0</v>
      </c>
      <c r="K267" s="35"/>
      <c r="L267" s="8"/>
      <c r="M267" s="7"/>
      <c r="N267" s="9" t="str">
        <f t="shared" si="17"/>
        <v/>
      </c>
      <c r="O267" s="20"/>
      <c r="Q267" s="606">
        <f t="shared" si="18"/>
        <v>0</v>
      </c>
      <c r="R267" s="606">
        <f t="shared" si="19"/>
        <v>0</v>
      </c>
    </row>
    <row r="268" spans="1:18">
      <c r="A268" s="575"/>
      <c r="B268" s="576"/>
      <c r="C268" s="567"/>
      <c r="D268" s="567"/>
      <c r="E268" s="3"/>
      <c r="F268" s="272"/>
      <c r="G268" s="272"/>
      <c r="H268" s="8"/>
      <c r="I268" s="8"/>
      <c r="J268" s="411">
        <f t="shared" si="16"/>
        <v>0</v>
      </c>
      <c r="K268" s="35"/>
      <c r="L268" s="8"/>
      <c r="M268" s="7"/>
      <c r="N268" s="9" t="str">
        <f t="shared" si="17"/>
        <v/>
      </c>
      <c r="O268" s="20"/>
      <c r="Q268" s="606">
        <f t="shared" si="18"/>
        <v>0</v>
      </c>
      <c r="R268" s="606">
        <f t="shared" si="19"/>
        <v>0</v>
      </c>
    </row>
    <row r="269" spans="1:18">
      <c r="A269" s="575"/>
      <c r="B269" s="576"/>
      <c r="C269" s="567"/>
      <c r="D269" s="567"/>
      <c r="E269" s="3"/>
      <c r="F269" s="272"/>
      <c r="G269" s="272"/>
      <c r="H269" s="8"/>
      <c r="I269" s="8"/>
      <c r="J269" s="411">
        <f t="shared" si="16"/>
        <v>0</v>
      </c>
      <c r="K269" s="35"/>
      <c r="L269" s="8"/>
      <c r="M269" s="7"/>
      <c r="N269" s="9" t="str">
        <f t="shared" si="17"/>
        <v/>
      </c>
      <c r="O269" s="20"/>
      <c r="Q269" s="606">
        <f t="shared" si="18"/>
        <v>0</v>
      </c>
      <c r="R269" s="606">
        <f t="shared" si="19"/>
        <v>0</v>
      </c>
    </row>
    <row r="270" spans="1:18">
      <c r="A270" s="575"/>
      <c r="B270" s="576"/>
      <c r="C270" s="567"/>
      <c r="D270" s="567"/>
      <c r="E270" s="3"/>
      <c r="F270" s="272"/>
      <c r="G270" s="272"/>
      <c r="H270" s="8"/>
      <c r="I270" s="8"/>
      <c r="J270" s="411">
        <f t="shared" si="16"/>
        <v>0</v>
      </c>
      <c r="K270" s="35"/>
      <c r="L270" s="8"/>
      <c r="M270" s="7"/>
      <c r="N270" s="9" t="str">
        <f t="shared" si="17"/>
        <v/>
      </c>
      <c r="O270" s="20"/>
      <c r="Q270" s="606">
        <f t="shared" si="18"/>
        <v>0</v>
      </c>
      <c r="R270" s="606">
        <f t="shared" si="19"/>
        <v>0</v>
      </c>
    </row>
    <row r="271" spans="1:18">
      <c r="A271" s="575"/>
      <c r="B271" s="576"/>
      <c r="C271" s="567"/>
      <c r="D271" s="567"/>
      <c r="E271" s="3"/>
      <c r="F271" s="272"/>
      <c r="G271" s="272"/>
      <c r="H271" s="8"/>
      <c r="I271" s="8"/>
      <c r="J271" s="411">
        <f t="shared" si="16"/>
        <v>0</v>
      </c>
      <c r="K271" s="35"/>
      <c r="L271" s="8"/>
      <c r="M271" s="7"/>
      <c r="N271" s="9" t="str">
        <f t="shared" si="17"/>
        <v/>
      </c>
      <c r="O271" s="20"/>
      <c r="Q271" s="606">
        <f t="shared" si="18"/>
        <v>0</v>
      </c>
      <c r="R271" s="606">
        <f t="shared" si="19"/>
        <v>0</v>
      </c>
    </row>
    <row r="272" spans="1:18">
      <c r="A272" s="575"/>
      <c r="B272" s="576"/>
      <c r="C272" s="567"/>
      <c r="D272" s="567"/>
      <c r="E272" s="3"/>
      <c r="F272" s="272"/>
      <c r="G272" s="272"/>
      <c r="H272" s="8"/>
      <c r="I272" s="8"/>
      <c r="J272" s="411">
        <f t="shared" si="16"/>
        <v>0</v>
      </c>
      <c r="K272" s="35"/>
      <c r="L272" s="8"/>
      <c r="M272" s="7"/>
      <c r="N272" s="9" t="str">
        <f t="shared" si="17"/>
        <v/>
      </c>
      <c r="O272" s="20"/>
      <c r="Q272" s="606">
        <f t="shared" si="18"/>
        <v>0</v>
      </c>
      <c r="R272" s="606">
        <f t="shared" si="19"/>
        <v>0</v>
      </c>
    </row>
    <row r="273" spans="1:18">
      <c r="A273" s="575"/>
      <c r="B273" s="576"/>
      <c r="C273" s="567"/>
      <c r="D273" s="567"/>
      <c r="E273" s="3"/>
      <c r="F273" s="272"/>
      <c r="G273" s="272"/>
      <c r="H273" s="8"/>
      <c r="I273" s="8"/>
      <c r="J273" s="411">
        <f t="shared" si="16"/>
        <v>0</v>
      </c>
      <c r="K273" s="35"/>
      <c r="L273" s="8"/>
      <c r="M273" s="7"/>
      <c r="N273" s="9" t="str">
        <f t="shared" si="17"/>
        <v/>
      </c>
      <c r="O273" s="20"/>
      <c r="Q273" s="606">
        <f t="shared" si="18"/>
        <v>0</v>
      </c>
      <c r="R273" s="606">
        <f t="shared" si="19"/>
        <v>0</v>
      </c>
    </row>
    <row r="274" spans="1:18">
      <c r="A274" s="575"/>
      <c r="B274" s="576"/>
      <c r="C274" s="567"/>
      <c r="D274" s="567"/>
      <c r="E274" s="3"/>
      <c r="F274" s="272"/>
      <c r="G274" s="272"/>
      <c r="H274" s="8"/>
      <c r="I274" s="8"/>
      <c r="J274" s="411">
        <f t="shared" si="16"/>
        <v>0</v>
      </c>
      <c r="K274" s="35"/>
      <c r="L274" s="8"/>
      <c r="M274" s="7"/>
      <c r="N274" s="9" t="str">
        <f t="shared" si="17"/>
        <v/>
      </c>
      <c r="O274" s="20"/>
      <c r="Q274" s="606">
        <f t="shared" si="18"/>
        <v>0</v>
      </c>
      <c r="R274" s="606">
        <f t="shared" si="19"/>
        <v>0</v>
      </c>
    </row>
    <row r="275" spans="1:18">
      <c r="A275" s="575"/>
      <c r="B275" s="576"/>
      <c r="C275" s="567"/>
      <c r="D275" s="567"/>
      <c r="E275" s="3"/>
      <c r="F275" s="272"/>
      <c r="G275" s="272"/>
      <c r="H275" s="8"/>
      <c r="I275" s="8"/>
      <c r="J275" s="411">
        <f t="shared" si="16"/>
        <v>0</v>
      </c>
      <c r="K275" s="35"/>
      <c r="L275" s="8"/>
      <c r="M275" s="7"/>
      <c r="N275" s="9" t="str">
        <f t="shared" si="17"/>
        <v/>
      </c>
      <c r="O275" s="20"/>
      <c r="Q275" s="606">
        <f t="shared" si="18"/>
        <v>0</v>
      </c>
      <c r="R275" s="606">
        <f t="shared" si="19"/>
        <v>0</v>
      </c>
    </row>
    <row r="276" spans="1:18">
      <c r="A276" s="575"/>
      <c r="B276" s="576"/>
      <c r="C276" s="567"/>
      <c r="D276" s="567"/>
      <c r="E276" s="3"/>
      <c r="F276" s="272"/>
      <c r="G276" s="272"/>
      <c r="H276" s="8"/>
      <c r="I276" s="8"/>
      <c r="J276" s="411">
        <f t="shared" si="16"/>
        <v>0</v>
      </c>
      <c r="K276" s="35"/>
      <c r="L276" s="8"/>
      <c r="M276" s="7"/>
      <c r="N276" s="9" t="str">
        <f t="shared" si="17"/>
        <v/>
      </c>
      <c r="O276" s="20"/>
      <c r="Q276" s="606">
        <f t="shared" si="18"/>
        <v>0</v>
      </c>
      <c r="R276" s="606">
        <f t="shared" si="19"/>
        <v>0</v>
      </c>
    </row>
    <row r="277" spans="1:18">
      <c r="A277" s="575"/>
      <c r="B277" s="576"/>
      <c r="C277" s="567"/>
      <c r="D277" s="567"/>
      <c r="E277" s="3"/>
      <c r="F277" s="272"/>
      <c r="G277" s="272"/>
      <c r="H277" s="8"/>
      <c r="I277" s="8"/>
      <c r="J277" s="411">
        <f t="shared" si="16"/>
        <v>0</v>
      </c>
      <c r="K277" s="35"/>
      <c r="L277" s="8"/>
      <c r="M277" s="7"/>
      <c r="N277" s="9" t="str">
        <f t="shared" si="17"/>
        <v/>
      </c>
      <c r="O277" s="20"/>
      <c r="Q277" s="606">
        <f t="shared" si="18"/>
        <v>0</v>
      </c>
      <c r="R277" s="606">
        <f t="shared" si="19"/>
        <v>0</v>
      </c>
    </row>
    <row r="278" spans="1:18">
      <c r="A278" s="575"/>
      <c r="B278" s="576"/>
      <c r="C278" s="567"/>
      <c r="D278" s="567"/>
      <c r="E278" s="3"/>
      <c r="F278" s="272"/>
      <c r="G278" s="272"/>
      <c r="H278" s="8"/>
      <c r="I278" s="8"/>
      <c r="J278" s="411">
        <f t="shared" si="16"/>
        <v>0</v>
      </c>
      <c r="K278" s="35"/>
      <c r="L278" s="8"/>
      <c r="M278" s="7"/>
      <c r="N278" s="9" t="str">
        <f t="shared" si="17"/>
        <v/>
      </c>
      <c r="O278" s="20"/>
      <c r="Q278" s="606">
        <f t="shared" si="18"/>
        <v>0</v>
      </c>
      <c r="R278" s="606">
        <f t="shared" si="19"/>
        <v>0</v>
      </c>
    </row>
    <row r="279" spans="1:18">
      <c r="A279" s="575"/>
      <c r="B279" s="576"/>
      <c r="C279" s="567"/>
      <c r="D279" s="567"/>
      <c r="E279" s="3"/>
      <c r="F279" s="272"/>
      <c r="G279" s="272"/>
      <c r="H279" s="8"/>
      <c r="I279" s="8"/>
      <c r="J279" s="411">
        <f t="shared" si="16"/>
        <v>0</v>
      </c>
      <c r="K279" s="35"/>
      <c r="L279" s="8"/>
      <c r="M279" s="7"/>
      <c r="N279" s="9" t="str">
        <f t="shared" si="17"/>
        <v/>
      </c>
      <c r="O279" s="20"/>
      <c r="Q279" s="606">
        <f t="shared" si="18"/>
        <v>0</v>
      </c>
      <c r="R279" s="606">
        <f t="shared" si="19"/>
        <v>0</v>
      </c>
    </row>
    <row r="280" spans="1:18">
      <c r="A280" s="575"/>
      <c r="B280" s="576"/>
      <c r="C280" s="567"/>
      <c r="D280" s="567"/>
      <c r="E280" s="3"/>
      <c r="F280" s="272"/>
      <c r="G280" s="272"/>
      <c r="H280" s="8"/>
      <c r="I280" s="8"/>
      <c r="J280" s="411">
        <f t="shared" si="16"/>
        <v>0</v>
      </c>
      <c r="K280" s="35"/>
      <c r="L280" s="8"/>
      <c r="M280" s="7"/>
      <c r="N280" s="9" t="str">
        <f t="shared" si="17"/>
        <v/>
      </c>
      <c r="O280" s="20"/>
      <c r="Q280" s="606">
        <f t="shared" si="18"/>
        <v>0</v>
      </c>
      <c r="R280" s="606">
        <f t="shared" si="19"/>
        <v>0</v>
      </c>
    </row>
    <row r="281" spans="1:18">
      <c r="A281" s="575"/>
      <c r="B281" s="576"/>
      <c r="C281" s="567"/>
      <c r="D281" s="567"/>
      <c r="E281" s="3"/>
      <c r="F281" s="272"/>
      <c r="G281" s="272"/>
      <c r="H281" s="8"/>
      <c r="I281" s="8"/>
      <c r="J281" s="411">
        <f t="shared" si="16"/>
        <v>0</v>
      </c>
      <c r="K281" s="35"/>
      <c r="L281" s="8"/>
      <c r="M281" s="7"/>
      <c r="N281" s="9" t="str">
        <f t="shared" si="17"/>
        <v/>
      </c>
      <c r="O281" s="20"/>
      <c r="Q281" s="606">
        <f t="shared" si="18"/>
        <v>0</v>
      </c>
      <c r="R281" s="606">
        <f t="shared" si="19"/>
        <v>0</v>
      </c>
    </row>
    <row r="282" spans="1:18">
      <c r="A282" s="575"/>
      <c r="B282" s="576"/>
      <c r="C282" s="567"/>
      <c r="D282" s="567"/>
      <c r="E282" s="3"/>
      <c r="F282" s="272"/>
      <c r="G282" s="272"/>
      <c r="H282" s="8"/>
      <c r="I282" s="8"/>
      <c r="J282" s="411">
        <f t="shared" si="16"/>
        <v>0</v>
      </c>
      <c r="K282" s="35"/>
      <c r="L282" s="8"/>
      <c r="M282" s="7"/>
      <c r="N282" s="9" t="str">
        <f t="shared" si="17"/>
        <v/>
      </c>
      <c r="O282" s="20"/>
      <c r="Q282" s="606">
        <f t="shared" si="18"/>
        <v>0</v>
      </c>
      <c r="R282" s="606">
        <f t="shared" si="19"/>
        <v>0</v>
      </c>
    </row>
    <row r="283" spans="1:18">
      <c r="A283" s="575"/>
      <c r="B283" s="576"/>
      <c r="C283" s="567"/>
      <c r="D283" s="567"/>
      <c r="E283" s="3"/>
      <c r="F283" s="272"/>
      <c r="G283" s="272"/>
      <c r="H283" s="8"/>
      <c r="I283" s="8"/>
      <c r="J283" s="411">
        <f t="shared" si="16"/>
        <v>0</v>
      </c>
      <c r="K283" s="35"/>
      <c r="L283" s="8"/>
      <c r="M283" s="7"/>
      <c r="N283" s="9" t="str">
        <f t="shared" si="17"/>
        <v/>
      </c>
      <c r="O283" s="20"/>
      <c r="Q283" s="606">
        <f t="shared" si="18"/>
        <v>0</v>
      </c>
      <c r="R283" s="606">
        <f t="shared" si="19"/>
        <v>0</v>
      </c>
    </row>
    <row r="284" spans="1:18">
      <c r="A284" s="575"/>
      <c r="B284" s="576"/>
      <c r="C284" s="567"/>
      <c r="D284" s="567"/>
      <c r="E284" s="3"/>
      <c r="F284" s="272"/>
      <c r="G284" s="272"/>
      <c r="H284" s="8"/>
      <c r="I284" s="8"/>
      <c r="J284" s="411">
        <f t="shared" si="16"/>
        <v>0</v>
      </c>
      <c r="K284" s="35"/>
      <c r="L284" s="8"/>
      <c r="M284" s="7"/>
      <c r="N284" s="9" t="str">
        <f t="shared" si="17"/>
        <v/>
      </c>
      <c r="O284" s="20"/>
      <c r="Q284" s="606">
        <f t="shared" si="18"/>
        <v>0</v>
      </c>
      <c r="R284" s="606">
        <f t="shared" si="19"/>
        <v>0</v>
      </c>
    </row>
    <row r="285" spans="1:18">
      <c r="A285" s="575"/>
      <c r="B285" s="576"/>
      <c r="C285" s="567"/>
      <c r="D285" s="567"/>
      <c r="E285" s="3"/>
      <c r="F285" s="272"/>
      <c r="G285" s="272"/>
      <c r="H285" s="8"/>
      <c r="I285" s="8"/>
      <c r="J285" s="411">
        <f t="shared" si="16"/>
        <v>0</v>
      </c>
      <c r="K285" s="35"/>
      <c r="L285" s="8"/>
      <c r="M285" s="7"/>
      <c r="N285" s="9" t="str">
        <f t="shared" si="17"/>
        <v/>
      </c>
      <c r="O285" s="20"/>
      <c r="Q285" s="606">
        <f t="shared" si="18"/>
        <v>0</v>
      </c>
      <c r="R285" s="606">
        <f t="shared" si="19"/>
        <v>0</v>
      </c>
    </row>
    <row r="286" spans="1:18">
      <c r="A286" s="575"/>
      <c r="B286" s="576"/>
      <c r="C286" s="567"/>
      <c r="D286" s="567"/>
      <c r="E286" s="3"/>
      <c r="F286" s="272"/>
      <c r="G286" s="272"/>
      <c r="H286" s="8"/>
      <c r="I286" s="8"/>
      <c r="J286" s="411">
        <f t="shared" si="16"/>
        <v>0</v>
      </c>
      <c r="K286" s="35"/>
      <c r="L286" s="8"/>
      <c r="M286" s="7"/>
      <c r="N286" s="9" t="str">
        <f t="shared" si="17"/>
        <v/>
      </c>
      <c r="O286" s="20"/>
      <c r="Q286" s="606">
        <f t="shared" si="18"/>
        <v>0</v>
      </c>
      <c r="R286" s="606">
        <f t="shared" si="19"/>
        <v>0</v>
      </c>
    </row>
    <row r="287" spans="1:18">
      <c r="A287" s="575"/>
      <c r="B287" s="576"/>
      <c r="C287" s="567"/>
      <c r="D287" s="567"/>
      <c r="E287" s="3"/>
      <c r="F287" s="272"/>
      <c r="G287" s="272"/>
      <c r="H287" s="8"/>
      <c r="I287" s="8"/>
      <c r="J287" s="411">
        <f t="shared" si="16"/>
        <v>0</v>
      </c>
      <c r="K287" s="35"/>
      <c r="L287" s="8"/>
      <c r="M287" s="7"/>
      <c r="N287" s="9" t="str">
        <f t="shared" si="17"/>
        <v/>
      </c>
      <c r="O287" s="20"/>
      <c r="Q287" s="606">
        <f t="shared" si="18"/>
        <v>0</v>
      </c>
      <c r="R287" s="606">
        <f t="shared" si="19"/>
        <v>0</v>
      </c>
    </row>
    <row r="288" spans="1:18">
      <c r="A288" s="575"/>
      <c r="B288" s="576"/>
      <c r="C288" s="567"/>
      <c r="D288" s="567"/>
      <c r="E288" s="3"/>
      <c r="F288" s="272"/>
      <c r="G288" s="272"/>
      <c r="H288" s="8"/>
      <c r="I288" s="8"/>
      <c r="J288" s="411">
        <f t="shared" si="16"/>
        <v>0</v>
      </c>
      <c r="K288" s="35"/>
      <c r="L288" s="8"/>
      <c r="M288" s="7"/>
      <c r="N288" s="9" t="str">
        <f t="shared" si="17"/>
        <v/>
      </c>
      <c r="O288" s="20"/>
      <c r="Q288" s="606">
        <f t="shared" si="18"/>
        <v>0</v>
      </c>
      <c r="R288" s="606">
        <f t="shared" si="19"/>
        <v>0</v>
      </c>
    </row>
    <row r="289" spans="1:18">
      <c r="A289" s="575"/>
      <c r="B289" s="576"/>
      <c r="C289" s="567"/>
      <c r="D289" s="567"/>
      <c r="E289" s="3"/>
      <c r="F289" s="272"/>
      <c r="G289" s="272"/>
      <c r="H289" s="8"/>
      <c r="I289" s="8"/>
      <c r="J289" s="411">
        <f t="shared" si="16"/>
        <v>0</v>
      </c>
      <c r="K289" s="35"/>
      <c r="L289" s="8"/>
      <c r="M289" s="7"/>
      <c r="N289" s="9" t="str">
        <f t="shared" si="17"/>
        <v/>
      </c>
      <c r="O289" s="20"/>
      <c r="Q289" s="606">
        <f t="shared" si="18"/>
        <v>0</v>
      </c>
      <c r="R289" s="606">
        <f t="shared" si="19"/>
        <v>0</v>
      </c>
    </row>
    <row r="290" spans="1:18">
      <c r="A290" s="575"/>
      <c r="B290" s="576"/>
      <c r="C290" s="567"/>
      <c r="D290" s="567"/>
      <c r="E290" s="3"/>
      <c r="F290" s="272"/>
      <c r="G290" s="272"/>
      <c r="H290" s="8"/>
      <c r="I290" s="8"/>
      <c r="J290" s="411">
        <f t="shared" si="16"/>
        <v>0</v>
      </c>
      <c r="K290" s="35"/>
      <c r="L290" s="8"/>
      <c r="M290" s="7"/>
      <c r="N290" s="9" t="str">
        <f t="shared" si="17"/>
        <v/>
      </c>
      <c r="O290" s="20"/>
      <c r="Q290" s="606">
        <f t="shared" si="18"/>
        <v>0</v>
      </c>
      <c r="R290" s="606">
        <f t="shared" si="19"/>
        <v>0</v>
      </c>
    </row>
    <row r="291" spans="1:18">
      <c r="A291" s="575"/>
      <c r="B291" s="576"/>
      <c r="C291" s="567"/>
      <c r="D291" s="567"/>
      <c r="E291" s="3"/>
      <c r="F291" s="272"/>
      <c r="G291" s="272"/>
      <c r="H291" s="8"/>
      <c r="I291" s="8"/>
      <c r="J291" s="411">
        <f t="shared" si="16"/>
        <v>0</v>
      </c>
      <c r="K291" s="35"/>
      <c r="L291" s="8"/>
      <c r="M291" s="7"/>
      <c r="N291" s="9" t="str">
        <f t="shared" si="17"/>
        <v/>
      </c>
      <c r="O291" s="20"/>
      <c r="Q291" s="606">
        <f t="shared" si="18"/>
        <v>0</v>
      </c>
      <c r="R291" s="606">
        <f t="shared" si="19"/>
        <v>0</v>
      </c>
    </row>
    <row r="292" spans="1:18">
      <c r="A292" s="575"/>
      <c r="B292" s="576"/>
      <c r="C292" s="567"/>
      <c r="D292" s="567"/>
      <c r="E292" s="3"/>
      <c r="F292" s="272"/>
      <c r="G292" s="272"/>
      <c r="H292" s="8"/>
      <c r="I292" s="8"/>
      <c r="J292" s="411">
        <f t="shared" si="16"/>
        <v>0</v>
      </c>
      <c r="K292" s="35"/>
      <c r="L292" s="8"/>
      <c r="M292" s="7"/>
      <c r="N292" s="9" t="str">
        <f t="shared" si="17"/>
        <v/>
      </c>
      <c r="O292" s="20"/>
      <c r="Q292" s="606">
        <f t="shared" si="18"/>
        <v>0</v>
      </c>
      <c r="R292" s="606">
        <f t="shared" si="19"/>
        <v>0</v>
      </c>
    </row>
    <row r="293" spans="1:18">
      <c r="A293" s="575"/>
      <c r="B293" s="576"/>
      <c r="C293" s="567"/>
      <c r="D293" s="567"/>
      <c r="E293" s="3"/>
      <c r="F293" s="272"/>
      <c r="G293" s="272"/>
      <c r="H293" s="8"/>
      <c r="I293" s="8"/>
      <c r="J293" s="411">
        <f t="shared" si="16"/>
        <v>0</v>
      </c>
      <c r="K293" s="35"/>
      <c r="L293" s="8"/>
      <c r="M293" s="7"/>
      <c r="N293" s="9" t="str">
        <f t="shared" si="17"/>
        <v/>
      </c>
      <c r="O293" s="20"/>
      <c r="Q293" s="606">
        <f t="shared" si="18"/>
        <v>0</v>
      </c>
      <c r="R293" s="606">
        <f t="shared" si="19"/>
        <v>0</v>
      </c>
    </row>
    <row r="294" spans="1:18">
      <c r="A294" s="575"/>
      <c r="B294" s="576"/>
      <c r="C294" s="567"/>
      <c r="D294" s="567"/>
      <c r="E294" s="3"/>
      <c r="F294" s="272"/>
      <c r="G294" s="272"/>
      <c r="H294" s="8"/>
      <c r="I294" s="8"/>
      <c r="J294" s="411">
        <f t="shared" si="16"/>
        <v>0</v>
      </c>
      <c r="K294" s="35"/>
      <c r="L294" s="8"/>
      <c r="M294" s="7"/>
      <c r="N294" s="9" t="str">
        <f t="shared" si="17"/>
        <v/>
      </c>
      <c r="O294" s="20"/>
      <c r="Q294" s="606">
        <f t="shared" si="18"/>
        <v>0</v>
      </c>
      <c r="R294" s="606">
        <f t="shared" si="19"/>
        <v>0</v>
      </c>
    </row>
    <row r="295" spans="1:18">
      <c r="A295" s="575"/>
      <c r="B295" s="576"/>
      <c r="C295" s="567"/>
      <c r="D295" s="567"/>
      <c r="E295" s="3"/>
      <c r="F295" s="272"/>
      <c r="G295" s="272"/>
      <c r="H295" s="8"/>
      <c r="I295" s="8"/>
      <c r="J295" s="411">
        <f t="shared" si="16"/>
        <v>0</v>
      </c>
      <c r="K295" s="35"/>
      <c r="L295" s="8"/>
      <c r="M295" s="7"/>
      <c r="N295" s="9" t="str">
        <f t="shared" si="17"/>
        <v/>
      </c>
      <c r="O295" s="20"/>
      <c r="Q295" s="606">
        <f t="shared" si="18"/>
        <v>0</v>
      </c>
      <c r="R295" s="606">
        <f t="shared" si="19"/>
        <v>0</v>
      </c>
    </row>
    <row r="296" spans="1:18">
      <c r="A296" s="575"/>
      <c r="B296" s="576"/>
      <c r="C296" s="567"/>
      <c r="D296" s="567"/>
      <c r="E296" s="3"/>
      <c r="F296" s="272"/>
      <c r="G296" s="272"/>
      <c r="H296" s="8"/>
      <c r="I296" s="8"/>
      <c r="J296" s="411">
        <f t="shared" si="16"/>
        <v>0</v>
      </c>
      <c r="K296" s="35"/>
      <c r="L296" s="8"/>
      <c r="M296" s="7"/>
      <c r="N296" s="9" t="str">
        <f t="shared" si="17"/>
        <v/>
      </c>
      <c r="O296" s="20"/>
      <c r="Q296" s="606">
        <f t="shared" si="18"/>
        <v>0</v>
      </c>
      <c r="R296" s="606">
        <f t="shared" si="19"/>
        <v>0</v>
      </c>
    </row>
    <row r="297" spans="1:18">
      <c r="A297" s="575"/>
      <c r="B297" s="576"/>
      <c r="C297" s="567"/>
      <c r="D297" s="567"/>
      <c r="E297" s="3"/>
      <c r="F297" s="272"/>
      <c r="G297" s="272"/>
      <c r="H297" s="8"/>
      <c r="I297" s="8"/>
      <c r="J297" s="411">
        <f t="shared" si="16"/>
        <v>0</v>
      </c>
      <c r="K297" s="35"/>
      <c r="L297" s="8"/>
      <c r="M297" s="7"/>
      <c r="N297" s="9" t="str">
        <f t="shared" si="17"/>
        <v/>
      </c>
      <c r="O297" s="20"/>
      <c r="Q297" s="606">
        <f t="shared" si="18"/>
        <v>0</v>
      </c>
      <c r="R297" s="606">
        <f t="shared" si="19"/>
        <v>0</v>
      </c>
    </row>
    <row r="298" spans="1:18">
      <c r="A298" s="575"/>
      <c r="B298" s="576"/>
      <c r="C298" s="567"/>
      <c r="D298" s="567"/>
      <c r="E298" s="3"/>
      <c r="F298" s="272"/>
      <c r="G298" s="272"/>
      <c r="H298" s="8"/>
      <c r="I298" s="8"/>
      <c r="J298" s="411">
        <f t="shared" si="16"/>
        <v>0</v>
      </c>
      <c r="K298" s="35"/>
      <c r="L298" s="8"/>
      <c r="M298" s="7"/>
      <c r="N298" s="9" t="str">
        <f t="shared" si="17"/>
        <v/>
      </c>
      <c r="O298" s="20"/>
      <c r="Q298" s="606">
        <f t="shared" si="18"/>
        <v>0</v>
      </c>
      <c r="R298" s="606">
        <f t="shared" si="19"/>
        <v>0</v>
      </c>
    </row>
    <row r="299" spans="1:18">
      <c r="A299" s="575"/>
      <c r="B299" s="576"/>
      <c r="C299" s="567"/>
      <c r="D299" s="567"/>
      <c r="E299" s="3"/>
      <c r="F299" s="272"/>
      <c r="G299" s="272"/>
      <c r="H299" s="8"/>
      <c r="I299" s="8"/>
      <c r="J299" s="411">
        <f t="shared" si="16"/>
        <v>0</v>
      </c>
      <c r="K299" s="35"/>
      <c r="L299" s="8"/>
      <c r="M299" s="7"/>
      <c r="N299" s="9" t="str">
        <f t="shared" si="17"/>
        <v/>
      </c>
      <c r="O299" s="20"/>
      <c r="Q299" s="606">
        <f t="shared" si="18"/>
        <v>0</v>
      </c>
      <c r="R299" s="606">
        <f t="shared" si="19"/>
        <v>0</v>
      </c>
    </row>
    <row r="300" spans="1:18">
      <c r="A300" s="575"/>
      <c r="B300" s="576"/>
      <c r="C300" s="567"/>
      <c r="D300" s="567"/>
      <c r="E300" s="3"/>
      <c r="F300" s="272"/>
      <c r="G300" s="272"/>
      <c r="H300" s="8"/>
      <c r="I300" s="8"/>
      <c r="J300" s="411">
        <f t="shared" si="16"/>
        <v>0</v>
      </c>
      <c r="K300" s="35"/>
      <c r="L300" s="8"/>
      <c r="M300" s="7"/>
      <c r="N300" s="9" t="str">
        <f t="shared" si="17"/>
        <v/>
      </c>
      <c r="O300" s="20"/>
      <c r="Q300" s="606">
        <f t="shared" si="18"/>
        <v>0</v>
      </c>
      <c r="R300" s="606">
        <f t="shared" si="19"/>
        <v>0</v>
      </c>
    </row>
    <row r="301" spans="1:18">
      <c r="A301" s="575"/>
      <c r="B301" s="576"/>
      <c r="C301" s="567"/>
      <c r="D301" s="567"/>
      <c r="E301" s="3"/>
      <c r="F301" s="272"/>
      <c r="G301" s="272"/>
      <c r="H301" s="8"/>
      <c r="I301" s="8"/>
      <c r="J301" s="411">
        <f t="shared" si="16"/>
        <v>0</v>
      </c>
      <c r="K301" s="35"/>
      <c r="L301" s="8"/>
      <c r="M301" s="7"/>
      <c r="N301" s="9" t="str">
        <f t="shared" si="17"/>
        <v/>
      </c>
      <c r="O301" s="20"/>
      <c r="Q301" s="606">
        <f t="shared" si="18"/>
        <v>0</v>
      </c>
      <c r="R301" s="606">
        <f t="shared" si="19"/>
        <v>0</v>
      </c>
    </row>
    <row r="302" spans="1:18">
      <c r="A302" s="575"/>
      <c r="B302" s="576"/>
      <c r="C302" s="567"/>
      <c r="D302" s="567"/>
      <c r="E302" s="3"/>
      <c r="F302" s="272"/>
      <c r="G302" s="272"/>
      <c r="H302" s="8"/>
      <c r="I302" s="8"/>
      <c r="J302" s="411">
        <f t="shared" si="16"/>
        <v>0</v>
      </c>
      <c r="K302" s="35"/>
      <c r="L302" s="8"/>
      <c r="M302" s="7"/>
      <c r="N302" s="9" t="str">
        <f t="shared" si="17"/>
        <v/>
      </c>
      <c r="O302" s="20"/>
      <c r="Q302" s="606">
        <f t="shared" si="18"/>
        <v>0</v>
      </c>
      <c r="R302" s="606">
        <f t="shared" si="19"/>
        <v>0</v>
      </c>
    </row>
    <row r="303" spans="1:18">
      <c r="A303" s="575"/>
      <c r="B303" s="576"/>
      <c r="C303" s="567"/>
      <c r="D303" s="567"/>
      <c r="E303" s="3"/>
      <c r="F303" s="272"/>
      <c r="G303" s="272"/>
      <c r="H303" s="8"/>
      <c r="I303" s="8"/>
      <c r="J303" s="411">
        <f t="shared" si="16"/>
        <v>0</v>
      </c>
      <c r="K303" s="35"/>
      <c r="L303" s="8"/>
      <c r="M303" s="7"/>
      <c r="N303" s="9" t="str">
        <f t="shared" si="17"/>
        <v/>
      </c>
      <c r="O303" s="20"/>
      <c r="Q303" s="606">
        <f t="shared" si="18"/>
        <v>0</v>
      </c>
      <c r="R303" s="606">
        <f t="shared" si="19"/>
        <v>0</v>
      </c>
    </row>
    <row r="304" spans="1:18">
      <c r="A304" s="575"/>
      <c r="B304" s="576"/>
      <c r="C304" s="567"/>
      <c r="D304" s="567"/>
      <c r="E304" s="3"/>
      <c r="F304" s="272"/>
      <c r="G304" s="272"/>
      <c r="H304" s="8"/>
      <c r="I304" s="8"/>
      <c r="J304" s="411">
        <f t="shared" si="16"/>
        <v>0</v>
      </c>
      <c r="K304" s="35"/>
      <c r="L304" s="8"/>
      <c r="M304" s="7"/>
      <c r="N304" s="9" t="str">
        <f t="shared" si="17"/>
        <v/>
      </c>
      <c r="O304" s="20"/>
      <c r="Q304" s="606">
        <f t="shared" si="18"/>
        <v>0</v>
      </c>
      <c r="R304" s="606">
        <f t="shared" si="19"/>
        <v>0</v>
      </c>
    </row>
    <row r="305" spans="1:18">
      <c r="A305" s="575"/>
      <c r="B305" s="576"/>
      <c r="C305" s="567"/>
      <c r="D305" s="567"/>
      <c r="E305" s="3"/>
      <c r="F305" s="272"/>
      <c r="G305" s="272"/>
      <c r="H305" s="8"/>
      <c r="I305" s="8"/>
      <c r="J305" s="411">
        <f t="shared" si="16"/>
        <v>0</v>
      </c>
      <c r="K305" s="35"/>
      <c r="L305" s="8"/>
      <c r="M305" s="7"/>
      <c r="N305" s="9" t="str">
        <f t="shared" si="17"/>
        <v/>
      </c>
      <c r="O305" s="20"/>
      <c r="Q305" s="606">
        <f t="shared" si="18"/>
        <v>0</v>
      </c>
      <c r="R305" s="606">
        <f t="shared" si="19"/>
        <v>0</v>
      </c>
    </row>
    <row r="306" spans="1:18">
      <c r="A306" s="575"/>
      <c r="B306" s="576"/>
      <c r="C306" s="567"/>
      <c r="D306" s="567"/>
      <c r="E306" s="3"/>
      <c r="F306" s="272"/>
      <c r="G306" s="272"/>
      <c r="H306" s="8"/>
      <c r="I306" s="8"/>
      <c r="J306" s="411">
        <f t="shared" si="16"/>
        <v>0</v>
      </c>
      <c r="K306" s="35"/>
      <c r="L306" s="8"/>
      <c r="M306" s="7"/>
      <c r="N306" s="9" t="str">
        <f t="shared" si="17"/>
        <v/>
      </c>
      <c r="O306" s="20"/>
      <c r="Q306" s="606">
        <f t="shared" si="18"/>
        <v>0</v>
      </c>
      <c r="R306" s="606">
        <f t="shared" si="19"/>
        <v>0</v>
      </c>
    </row>
    <row r="307" spans="1:18">
      <c r="A307" s="575"/>
      <c r="B307" s="576"/>
      <c r="C307" s="567"/>
      <c r="D307" s="567"/>
      <c r="E307" s="3"/>
      <c r="F307" s="272"/>
      <c r="G307" s="272"/>
      <c r="H307" s="8"/>
      <c r="I307" s="8"/>
      <c r="J307" s="411">
        <f t="shared" si="16"/>
        <v>0</v>
      </c>
      <c r="K307" s="35"/>
      <c r="L307" s="8"/>
      <c r="M307" s="7"/>
      <c r="N307" s="9" t="str">
        <f t="shared" si="17"/>
        <v/>
      </c>
      <c r="O307" s="20"/>
      <c r="Q307" s="606">
        <f t="shared" si="18"/>
        <v>0</v>
      </c>
      <c r="R307" s="606">
        <f t="shared" si="19"/>
        <v>0</v>
      </c>
    </row>
    <row r="308" spans="1:18">
      <c r="A308" s="575"/>
      <c r="B308" s="576"/>
      <c r="C308" s="567"/>
      <c r="D308" s="567"/>
      <c r="E308" s="3"/>
      <c r="F308" s="272"/>
      <c r="G308" s="272"/>
      <c r="H308" s="8"/>
      <c r="I308" s="8"/>
      <c r="J308" s="411">
        <f t="shared" si="16"/>
        <v>0</v>
      </c>
      <c r="K308" s="35"/>
      <c r="L308" s="8"/>
      <c r="M308" s="7"/>
      <c r="N308" s="9" t="str">
        <f t="shared" si="17"/>
        <v/>
      </c>
      <c r="O308" s="20"/>
      <c r="Q308" s="606">
        <f t="shared" si="18"/>
        <v>0</v>
      </c>
      <c r="R308" s="606">
        <f t="shared" si="19"/>
        <v>0</v>
      </c>
    </row>
    <row r="309" spans="1:18">
      <c r="A309" s="575"/>
      <c r="B309" s="576"/>
      <c r="C309" s="567"/>
      <c r="D309" s="567"/>
      <c r="E309" s="3"/>
      <c r="F309" s="272"/>
      <c r="G309" s="272"/>
      <c r="H309" s="8"/>
      <c r="I309" s="8"/>
      <c r="J309" s="411">
        <f t="shared" si="16"/>
        <v>0</v>
      </c>
      <c r="K309" s="35"/>
      <c r="L309" s="8"/>
      <c r="M309" s="7"/>
      <c r="N309" s="9" t="str">
        <f t="shared" si="17"/>
        <v/>
      </c>
      <c r="O309" s="20"/>
      <c r="Q309" s="606">
        <f t="shared" si="18"/>
        <v>0</v>
      </c>
      <c r="R309" s="606">
        <f t="shared" si="19"/>
        <v>0</v>
      </c>
    </row>
    <row r="310" spans="1:18">
      <c r="A310" s="575"/>
      <c r="B310" s="576"/>
      <c r="C310" s="567"/>
      <c r="D310" s="567"/>
      <c r="E310" s="3"/>
      <c r="F310" s="272"/>
      <c r="G310" s="272"/>
      <c r="H310" s="8"/>
      <c r="I310" s="8"/>
      <c r="J310" s="411">
        <f t="shared" si="16"/>
        <v>0</v>
      </c>
      <c r="K310" s="35"/>
      <c r="L310" s="8"/>
      <c r="M310" s="7"/>
      <c r="N310" s="9" t="str">
        <f t="shared" si="17"/>
        <v/>
      </c>
      <c r="O310" s="20"/>
      <c r="Q310" s="606">
        <f t="shared" si="18"/>
        <v>0</v>
      </c>
      <c r="R310" s="606">
        <f t="shared" si="19"/>
        <v>0</v>
      </c>
    </row>
    <row r="311" spans="1:18">
      <c r="A311" s="575"/>
      <c r="B311" s="576"/>
      <c r="C311" s="567"/>
      <c r="D311" s="567"/>
      <c r="E311" s="3"/>
      <c r="F311" s="272"/>
      <c r="G311" s="272"/>
      <c r="H311" s="8"/>
      <c r="I311" s="8"/>
      <c r="J311" s="411">
        <f t="shared" si="16"/>
        <v>0</v>
      </c>
      <c r="K311" s="35"/>
      <c r="L311" s="8"/>
      <c r="M311" s="7"/>
      <c r="N311" s="9" t="str">
        <f t="shared" si="17"/>
        <v/>
      </c>
      <c r="O311" s="20"/>
      <c r="Q311" s="606">
        <f t="shared" si="18"/>
        <v>0</v>
      </c>
      <c r="R311" s="606">
        <f t="shared" si="19"/>
        <v>0</v>
      </c>
    </row>
    <row r="312" spans="1:18">
      <c r="A312" s="575"/>
      <c r="B312" s="576"/>
      <c r="C312" s="567"/>
      <c r="D312" s="567"/>
      <c r="E312" s="3"/>
      <c r="F312" s="272"/>
      <c r="G312" s="272"/>
      <c r="H312" s="8"/>
      <c r="I312" s="8"/>
      <c r="J312" s="411">
        <f t="shared" si="16"/>
        <v>0</v>
      </c>
      <c r="K312" s="35"/>
      <c r="L312" s="8"/>
      <c r="M312" s="7"/>
      <c r="N312" s="9" t="str">
        <f t="shared" si="17"/>
        <v/>
      </c>
      <c r="O312" s="20"/>
      <c r="Q312" s="606">
        <f t="shared" si="18"/>
        <v>0</v>
      </c>
      <c r="R312" s="606">
        <f t="shared" si="19"/>
        <v>0</v>
      </c>
    </row>
    <row r="313" spans="1:18">
      <c r="A313" s="575"/>
      <c r="B313" s="576"/>
      <c r="C313" s="567"/>
      <c r="D313" s="567"/>
      <c r="E313" s="3"/>
      <c r="F313" s="272"/>
      <c r="G313" s="272"/>
      <c r="H313" s="8"/>
      <c r="I313" s="8"/>
      <c r="J313" s="411">
        <f t="shared" si="16"/>
        <v>0</v>
      </c>
      <c r="K313" s="35"/>
      <c r="L313" s="8"/>
      <c r="M313" s="7"/>
      <c r="N313" s="9" t="str">
        <f t="shared" si="17"/>
        <v/>
      </c>
      <c r="O313" s="20"/>
      <c r="Q313" s="606">
        <f t="shared" si="18"/>
        <v>0</v>
      </c>
      <c r="R313" s="606">
        <f t="shared" si="19"/>
        <v>0</v>
      </c>
    </row>
    <row r="314" spans="1:18">
      <c r="A314" s="575"/>
      <c r="B314" s="576"/>
      <c r="C314" s="567"/>
      <c r="D314" s="567"/>
      <c r="E314" s="3"/>
      <c r="F314" s="272"/>
      <c r="G314" s="272"/>
      <c r="H314" s="8"/>
      <c r="I314" s="8"/>
      <c r="J314" s="411">
        <f t="shared" si="16"/>
        <v>0</v>
      </c>
      <c r="K314" s="35"/>
      <c r="L314" s="8"/>
      <c r="M314" s="7"/>
      <c r="N314" s="9" t="str">
        <f t="shared" si="17"/>
        <v/>
      </c>
      <c r="O314" s="20"/>
      <c r="Q314" s="606">
        <f t="shared" si="18"/>
        <v>0</v>
      </c>
      <c r="R314" s="606">
        <f t="shared" si="19"/>
        <v>0</v>
      </c>
    </row>
    <row r="315" spans="1:18">
      <c r="A315" s="575"/>
      <c r="B315" s="576"/>
      <c r="C315" s="567"/>
      <c r="D315" s="567"/>
      <c r="E315" s="3"/>
      <c r="F315" s="272"/>
      <c r="G315" s="272"/>
      <c r="H315" s="8"/>
      <c r="I315" s="8"/>
      <c r="J315" s="411">
        <f t="shared" si="16"/>
        <v>0</v>
      </c>
      <c r="K315" s="35"/>
      <c r="L315" s="8"/>
      <c r="M315" s="7"/>
      <c r="N315" s="9" t="str">
        <f t="shared" si="17"/>
        <v/>
      </c>
      <c r="O315" s="20"/>
      <c r="Q315" s="606">
        <f t="shared" si="18"/>
        <v>0</v>
      </c>
      <c r="R315" s="606">
        <f t="shared" si="19"/>
        <v>0</v>
      </c>
    </row>
    <row r="316" spans="1:18">
      <c r="A316" s="575"/>
      <c r="B316" s="576"/>
      <c r="C316" s="567"/>
      <c r="D316" s="567"/>
      <c r="E316" s="3"/>
      <c r="F316" s="272"/>
      <c r="G316" s="272"/>
      <c r="H316" s="8"/>
      <c r="I316" s="8"/>
      <c r="J316" s="411">
        <f t="shared" si="16"/>
        <v>0</v>
      </c>
      <c r="K316" s="35"/>
      <c r="L316" s="8"/>
      <c r="M316" s="7"/>
      <c r="N316" s="9" t="str">
        <f t="shared" si="17"/>
        <v/>
      </c>
      <c r="O316" s="20"/>
      <c r="Q316" s="606">
        <f t="shared" si="18"/>
        <v>0</v>
      </c>
      <c r="R316" s="606">
        <f t="shared" si="19"/>
        <v>0</v>
      </c>
    </row>
    <row r="317" spans="1:18">
      <c r="A317" s="575"/>
      <c r="B317" s="576"/>
      <c r="C317" s="567"/>
      <c r="D317" s="567"/>
      <c r="E317" s="3"/>
      <c r="F317" s="272"/>
      <c r="G317" s="272"/>
      <c r="H317" s="8"/>
      <c r="I317" s="8"/>
      <c r="J317" s="411">
        <f t="shared" si="16"/>
        <v>0</v>
      </c>
      <c r="K317" s="35"/>
      <c r="L317" s="8"/>
      <c r="M317" s="7"/>
      <c r="N317" s="9" t="str">
        <f t="shared" si="17"/>
        <v/>
      </c>
      <c r="O317" s="20"/>
      <c r="Q317" s="606">
        <f t="shared" si="18"/>
        <v>0</v>
      </c>
      <c r="R317" s="606">
        <f t="shared" si="19"/>
        <v>0</v>
      </c>
    </row>
    <row r="318" spans="1:18">
      <c r="A318" s="575"/>
      <c r="B318" s="576"/>
      <c r="C318" s="567"/>
      <c r="D318" s="567"/>
      <c r="E318" s="3"/>
      <c r="F318" s="272"/>
      <c r="G318" s="272"/>
      <c r="H318" s="8"/>
      <c r="I318" s="8"/>
      <c r="J318" s="411">
        <f t="shared" si="16"/>
        <v>0</v>
      </c>
      <c r="K318" s="35"/>
      <c r="L318" s="8"/>
      <c r="M318" s="7"/>
      <c r="N318" s="9" t="str">
        <f t="shared" si="17"/>
        <v/>
      </c>
      <c r="O318" s="20"/>
      <c r="Q318" s="606">
        <f t="shared" si="18"/>
        <v>0</v>
      </c>
      <c r="R318" s="606">
        <f t="shared" si="19"/>
        <v>0</v>
      </c>
    </row>
    <row r="319" spans="1:18">
      <c r="A319" s="575"/>
      <c r="B319" s="576"/>
      <c r="C319" s="567"/>
      <c r="D319" s="567"/>
      <c r="E319" s="3"/>
      <c r="F319" s="272"/>
      <c r="G319" s="272"/>
      <c r="H319" s="8"/>
      <c r="I319" s="8"/>
      <c r="J319" s="411">
        <f t="shared" si="16"/>
        <v>0</v>
      </c>
      <c r="K319" s="35"/>
      <c r="L319" s="8"/>
      <c r="M319" s="7"/>
      <c r="N319" s="9" t="str">
        <f t="shared" si="17"/>
        <v/>
      </c>
      <c r="O319" s="20"/>
      <c r="Q319" s="606">
        <f t="shared" si="18"/>
        <v>0</v>
      </c>
      <c r="R319" s="606">
        <f t="shared" si="19"/>
        <v>0</v>
      </c>
    </row>
    <row r="320" spans="1:18">
      <c r="A320" s="575"/>
      <c r="B320" s="576"/>
      <c r="C320" s="567"/>
      <c r="D320" s="567"/>
      <c r="E320" s="3"/>
      <c r="F320" s="272"/>
      <c r="G320" s="272"/>
      <c r="H320" s="8"/>
      <c r="I320" s="8"/>
      <c r="J320" s="411">
        <f t="shared" si="16"/>
        <v>0</v>
      </c>
      <c r="K320" s="35"/>
      <c r="L320" s="8"/>
      <c r="M320" s="7"/>
      <c r="N320" s="9" t="str">
        <f t="shared" si="17"/>
        <v/>
      </c>
      <c r="O320" s="20"/>
      <c r="Q320" s="606">
        <f t="shared" si="18"/>
        <v>0</v>
      </c>
      <c r="R320" s="606">
        <f t="shared" si="19"/>
        <v>0</v>
      </c>
    </row>
    <row r="321" spans="1:18">
      <c r="A321" s="575"/>
      <c r="B321" s="576"/>
      <c r="C321" s="567"/>
      <c r="D321" s="567"/>
      <c r="E321" s="3"/>
      <c r="F321" s="272"/>
      <c r="G321" s="272"/>
      <c r="H321" s="8"/>
      <c r="I321" s="8"/>
      <c r="J321" s="411">
        <f t="shared" si="16"/>
        <v>0</v>
      </c>
      <c r="K321" s="35"/>
      <c r="L321" s="8"/>
      <c r="M321" s="7"/>
      <c r="N321" s="9" t="str">
        <f t="shared" si="17"/>
        <v/>
      </c>
      <c r="O321" s="20"/>
      <c r="Q321" s="606">
        <f t="shared" si="18"/>
        <v>0</v>
      </c>
      <c r="R321" s="606">
        <f t="shared" si="19"/>
        <v>0</v>
      </c>
    </row>
    <row r="322" spans="1:18">
      <c r="A322" s="575"/>
      <c r="B322" s="576"/>
      <c r="C322" s="567"/>
      <c r="D322" s="567"/>
      <c r="E322" s="3"/>
      <c r="F322" s="272"/>
      <c r="G322" s="272"/>
      <c r="H322" s="8"/>
      <c r="I322" s="8"/>
      <c r="J322" s="411">
        <f t="shared" si="16"/>
        <v>0</v>
      </c>
      <c r="K322" s="35"/>
      <c r="L322" s="8"/>
      <c r="M322" s="7"/>
      <c r="N322" s="9" t="str">
        <f t="shared" si="17"/>
        <v/>
      </c>
      <c r="O322" s="20"/>
      <c r="Q322" s="606">
        <f t="shared" si="18"/>
        <v>0</v>
      </c>
      <c r="R322" s="606">
        <f t="shared" si="19"/>
        <v>0</v>
      </c>
    </row>
    <row r="323" spans="1:18">
      <c r="A323" s="575"/>
      <c r="B323" s="576"/>
      <c r="C323" s="567"/>
      <c r="D323" s="567"/>
      <c r="E323" s="25"/>
      <c r="F323" s="272"/>
      <c r="G323" s="272"/>
      <c r="H323" s="8"/>
      <c r="I323" s="8"/>
      <c r="J323" s="411">
        <f t="shared" si="16"/>
        <v>0</v>
      </c>
      <c r="K323" s="35"/>
      <c r="L323" s="8"/>
      <c r="M323" s="7"/>
      <c r="N323" s="9" t="str">
        <f t="shared" si="17"/>
        <v/>
      </c>
      <c r="O323" s="20"/>
      <c r="Q323" s="606">
        <f t="shared" si="18"/>
        <v>0</v>
      </c>
      <c r="R323" s="606">
        <f t="shared" si="19"/>
        <v>0</v>
      </c>
    </row>
    <row r="324" spans="1:18">
      <c r="A324" s="575"/>
      <c r="B324" s="576"/>
      <c r="C324" s="567"/>
      <c r="D324" s="567"/>
      <c r="E324" s="25"/>
      <c r="F324" s="272"/>
      <c r="G324" s="272"/>
      <c r="H324" s="8"/>
      <c r="I324" s="8"/>
      <c r="J324" s="411">
        <f t="shared" si="16"/>
        <v>0</v>
      </c>
      <c r="K324" s="35"/>
      <c r="L324" s="8"/>
      <c r="M324" s="7"/>
      <c r="N324" s="9" t="str">
        <f t="shared" si="17"/>
        <v/>
      </c>
      <c r="O324" s="20"/>
      <c r="Q324" s="606">
        <f t="shared" si="18"/>
        <v>0</v>
      </c>
      <c r="R324" s="606">
        <f t="shared" si="19"/>
        <v>0</v>
      </c>
    </row>
    <row r="325" spans="1:18">
      <c r="A325" s="575"/>
      <c r="B325" s="576"/>
      <c r="C325" s="567"/>
      <c r="D325" s="567"/>
      <c r="E325" s="25"/>
      <c r="F325" s="272"/>
      <c r="G325" s="272"/>
      <c r="H325" s="8"/>
      <c r="I325" s="8"/>
      <c r="J325" s="411">
        <f t="shared" si="16"/>
        <v>0</v>
      </c>
      <c r="K325" s="35"/>
      <c r="L325" s="8"/>
      <c r="M325" s="7"/>
      <c r="N325" s="9" t="str">
        <f t="shared" si="17"/>
        <v/>
      </c>
      <c r="O325" s="20"/>
      <c r="Q325" s="606">
        <f t="shared" si="18"/>
        <v>0</v>
      </c>
      <c r="R325" s="606">
        <f t="shared" si="19"/>
        <v>0</v>
      </c>
    </row>
    <row r="326" spans="1:18">
      <c r="A326" s="575"/>
      <c r="B326" s="576"/>
      <c r="C326" s="567"/>
      <c r="D326" s="567"/>
      <c r="E326" s="25"/>
      <c r="F326" s="272"/>
      <c r="G326" s="272"/>
      <c r="H326" s="8"/>
      <c r="I326" s="8"/>
      <c r="J326" s="411">
        <f t="shared" ref="J326:J353" si="20">(+F326*G326+H326*I326)*E326</f>
        <v>0</v>
      </c>
      <c r="K326" s="35"/>
      <c r="L326" s="8"/>
      <c r="M326" s="7"/>
      <c r="N326" s="9" t="str">
        <f t="shared" ref="N326:N353" si="21">IF(K326=0,"",L326*M326*E326)</f>
        <v/>
      </c>
      <c r="O326" s="20"/>
      <c r="Q326" s="606">
        <f t="shared" ref="Q326:Q353" si="22">F326*G326*E326</f>
        <v>0</v>
      </c>
      <c r="R326" s="606">
        <f t="shared" ref="R326:R353" si="23">H326*E326*I326</f>
        <v>0</v>
      </c>
    </row>
    <row r="327" spans="1:18">
      <c r="A327" s="575"/>
      <c r="B327" s="576"/>
      <c r="C327" s="567"/>
      <c r="D327" s="567"/>
      <c r="E327" s="25"/>
      <c r="F327" s="272"/>
      <c r="G327" s="272"/>
      <c r="H327" s="8"/>
      <c r="I327" s="8"/>
      <c r="J327" s="411">
        <f t="shared" si="20"/>
        <v>0</v>
      </c>
      <c r="K327" s="35"/>
      <c r="L327" s="8"/>
      <c r="M327" s="7"/>
      <c r="N327" s="9" t="str">
        <f t="shared" si="21"/>
        <v/>
      </c>
      <c r="O327" s="20"/>
      <c r="Q327" s="606">
        <f t="shared" si="22"/>
        <v>0</v>
      </c>
      <c r="R327" s="606">
        <f t="shared" si="23"/>
        <v>0</v>
      </c>
    </row>
    <row r="328" spans="1:18">
      <c r="A328" s="575"/>
      <c r="B328" s="576"/>
      <c r="C328" s="567"/>
      <c r="D328" s="567"/>
      <c r="E328" s="25"/>
      <c r="F328" s="272"/>
      <c r="G328" s="272"/>
      <c r="H328" s="8"/>
      <c r="I328" s="8"/>
      <c r="J328" s="411">
        <f t="shared" si="20"/>
        <v>0</v>
      </c>
      <c r="K328" s="35"/>
      <c r="L328" s="8"/>
      <c r="M328" s="7"/>
      <c r="N328" s="9" t="str">
        <f t="shared" si="21"/>
        <v/>
      </c>
      <c r="O328" s="20"/>
      <c r="Q328" s="606">
        <f t="shared" si="22"/>
        <v>0</v>
      </c>
      <c r="R328" s="606">
        <f t="shared" si="23"/>
        <v>0</v>
      </c>
    </row>
    <row r="329" spans="1:18">
      <c r="A329" s="575"/>
      <c r="B329" s="576"/>
      <c r="C329" s="567"/>
      <c r="D329" s="567"/>
      <c r="E329" s="25"/>
      <c r="F329" s="272"/>
      <c r="G329" s="272"/>
      <c r="H329" s="8"/>
      <c r="I329" s="8"/>
      <c r="J329" s="411">
        <f t="shared" si="20"/>
        <v>0</v>
      </c>
      <c r="K329" s="35"/>
      <c r="L329" s="8"/>
      <c r="M329" s="7"/>
      <c r="N329" s="9" t="str">
        <f t="shared" si="21"/>
        <v/>
      </c>
      <c r="O329" s="20"/>
      <c r="Q329" s="606">
        <f t="shared" si="22"/>
        <v>0</v>
      </c>
      <c r="R329" s="606">
        <f t="shared" si="23"/>
        <v>0</v>
      </c>
    </row>
    <row r="330" spans="1:18">
      <c r="A330" s="575"/>
      <c r="B330" s="576"/>
      <c r="C330" s="567"/>
      <c r="D330" s="567"/>
      <c r="E330" s="25"/>
      <c r="F330" s="272"/>
      <c r="G330" s="272"/>
      <c r="H330" s="8"/>
      <c r="I330" s="8"/>
      <c r="J330" s="411">
        <f t="shared" si="20"/>
        <v>0</v>
      </c>
      <c r="K330" s="35"/>
      <c r="L330" s="8"/>
      <c r="M330" s="7"/>
      <c r="N330" s="9" t="str">
        <f t="shared" si="21"/>
        <v/>
      </c>
      <c r="O330" s="20"/>
      <c r="Q330" s="606">
        <f t="shared" si="22"/>
        <v>0</v>
      </c>
      <c r="R330" s="606">
        <f t="shared" si="23"/>
        <v>0</v>
      </c>
    </row>
    <row r="331" spans="1:18">
      <c r="A331" s="575"/>
      <c r="B331" s="576"/>
      <c r="C331" s="567"/>
      <c r="D331" s="567"/>
      <c r="E331" s="25"/>
      <c r="F331" s="272"/>
      <c r="G331" s="272"/>
      <c r="H331" s="8"/>
      <c r="I331" s="8"/>
      <c r="J331" s="411">
        <f t="shared" si="20"/>
        <v>0</v>
      </c>
      <c r="K331" s="35"/>
      <c r="L331" s="8"/>
      <c r="M331" s="7"/>
      <c r="N331" s="9" t="str">
        <f t="shared" si="21"/>
        <v/>
      </c>
      <c r="O331" s="20"/>
      <c r="Q331" s="606">
        <f t="shared" si="22"/>
        <v>0</v>
      </c>
      <c r="R331" s="606">
        <f t="shared" si="23"/>
        <v>0</v>
      </c>
    </row>
    <row r="332" spans="1:18">
      <c r="A332" s="575"/>
      <c r="B332" s="576"/>
      <c r="C332" s="567"/>
      <c r="D332" s="567"/>
      <c r="E332" s="25"/>
      <c r="F332" s="272"/>
      <c r="G332" s="272"/>
      <c r="H332" s="8"/>
      <c r="I332" s="8"/>
      <c r="J332" s="411">
        <f t="shared" si="20"/>
        <v>0</v>
      </c>
      <c r="K332" s="35"/>
      <c r="L332" s="8"/>
      <c r="M332" s="7"/>
      <c r="N332" s="9" t="str">
        <f t="shared" si="21"/>
        <v/>
      </c>
      <c r="O332" s="20"/>
      <c r="Q332" s="606">
        <f t="shared" si="22"/>
        <v>0</v>
      </c>
      <c r="R332" s="606">
        <f t="shared" si="23"/>
        <v>0</v>
      </c>
    </row>
    <row r="333" spans="1:18">
      <c r="A333" s="575"/>
      <c r="B333" s="576"/>
      <c r="C333" s="567"/>
      <c r="D333" s="567"/>
      <c r="E333" s="25"/>
      <c r="F333" s="272"/>
      <c r="G333" s="272"/>
      <c r="H333" s="8"/>
      <c r="I333" s="8"/>
      <c r="J333" s="411">
        <f t="shared" si="20"/>
        <v>0</v>
      </c>
      <c r="K333" s="35"/>
      <c r="L333" s="8"/>
      <c r="M333" s="7"/>
      <c r="N333" s="9" t="str">
        <f t="shared" si="21"/>
        <v/>
      </c>
      <c r="O333" s="20"/>
      <c r="Q333" s="606">
        <f t="shared" si="22"/>
        <v>0</v>
      </c>
      <c r="R333" s="606">
        <f t="shared" si="23"/>
        <v>0</v>
      </c>
    </row>
    <row r="334" spans="1:18">
      <c r="A334" s="575"/>
      <c r="B334" s="576"/>
      <c r="C334" s="567"/>
      <c r="D334" s="567"/>
      <c r="E334" s="25"/>
      <c r="F334" s="272"/>
      <c r="G334" s="272"/>
      <c r="H334" s="8"/>
      <c r="I334" s="8"/>
      <c r="J334" s="411">
        <f t="shared" si="20"/>
        <v>0</v>
      </c>
      <c r="K334" s="35"/>
      <c r="L334" s="8"/>
      <c r="M334" s="7"/>
      <c r="N334" s="9" t="str">
        <f t="shared" si="21"/>
        <v/>
      </c>
      <c r="O334" s="20"/>
      <c r="Q334" s="606">
        <f t="shared" si="22"/>
        <v>0</v>
      </c>
      <c r="R334" s="606">
        <f t="shared" si="23"/>
        <v>0</v>
      </c>
    </row>
    <row r="335" spans="1:18">
      <c r="A335" s="575"/>
      <c r="B335" s="576"/>
      <c r="C335" s="567"/>
      <c r="D335" s="567"/>
      <c r="E335" s="25"/>
      <c r="F335" s="272"/>
      <c r="G335" s="272"/>
      <c r="H335" s="8"/>
      <c r="I335" s="8"/>
      <c r="J335" s="411">
        <f t="shared" si="20"/>
        <v>0</v>
      </c>
      <c r="K335" s="35"/>
      <c r="L335" s="8"/>
      <c r="M335" s="7"/>
      <c r="N335" s="9" t="str">
        <f t="shared" si="21"/>
        <v/>
      </c>
      <c r="O335" s="20"/>
      <c r="Q335" s="606">
        <f t="shared" si="22"/>
        <v>0</v>
      </c>
      <c r="R335" s="606">
        <f t="shared" si="23"/>
        <v>0</v>
      </c>
    </row>
    <row r="336" spans="1:18">
      <c r="A336" s="575"/>
      <c r="B336" s="576"/>
      <c r="C336" s="567"/>
      <c r="D336" s="567"/>
      <c r="E336" s="25"/>
      <c r="F336" s="272"/>
      <c r="G336" s="272"/>
      <c r="H336" s="8"/>
      <c r="I336" s="8"/>
      <c r="J336" s="411">
        <f t="shared" si="20"/>
        <v>0</v>
      </c>
      <c r="K336" s="35"/>
      <c r="L336" s="8"/>
      <c r="M336" s="7"/>
      <c r="N336" s="9" t="str">
        <f t="shared" si="21"/>
        <v/>
      </c>
      <c r="O336" s="20"/>
      <c r="Q336" s="606">
        <f t="shared" si="22"/>
        <v>0</v>
      </c>
      <c r="R336" s="606">
        <f t="shared" si="23"/>
        <v>0</v>
      </c>
    </row>
    <row r="337" spans="1:18">
      <c r="A337" s="575"/>
      <c r="B337" s="576"/>
      <c r="C337" s="567"/>
      <c r="D337" s="567"/>
      <c r="E337" s="25"/>
      <c r="F337" s="272"/>
      <c r="G337" s="272"/>
      <c r="H337" s="8"/>
      <c r="I337" s="8"/>
      <c r="J337" s="411">
        <f t="shared" si="20"/>
        <v>0</v>
      </c>
      <c r="K337" s="35"/>
      <c r="L337" s="8"/>
      <c r="M337" s="7"/>
      <c r="N337" s="9" t="str">
        <f t="shared" si="21"/>
        <v/>
      </c>
      <c r="O337" s="20"/>
      <c r="Q337" s="606">
        <f t="shared" si="22"/>
        <v>0</v>
      </c>
      <c r="R337" s="606">
        <f t="shared" si="23"/>
        <v>0</v>
      </c>
    </row>
    <row r="338" spans="1:18">
      <c r="A338" s="575"/>
      <c r="B338" s="576"/>
      <c r="C338" s="567"/>
      <c r="D338" s="567"/>
      <c r="E338" s="25"/>
      <c r="F338" s="272"/>
      <c r="G338" s="272"/>
      <c r="H338" s="8"/>
      <c r="I338" s="8"/>
      <c r="J338" s="411">
        <f t="shared" si="20"/>
        <v>0</v>
      </c>
      <c r="K338" s="35"/>
      <c r="L338" s="8"/>
      <c r="M338" s="7"/>
      <c r="N338" s="9" t="str">
        <f t="shared" si="21"/>
        <v/>
      </c>
      <c r="O338" s="20"/>
      <c r="Q338" s="606">
        <f t="shared" si="22"/>
        <v>0</v>
      </c>
      <c r="R338" s="606">
        <f t="shared" si="23"/>
        <v>0</v>
      </c>
    </row>
    <row r="339" spans="1:18">
      <c r="A339" s="575"/>
      <c r="B339" s="576"/>
      <c r="C339" s="567"/>
      <c r="D339" s="567"/>
      <c r="E339" s="25"/>
      <c r="F339" s="272"/>
      <c r="G339" s="272"/>
      <c r="H339" s="8"/>
      <c r="I339" s="8"/>
      <c r="J339" s="411">
        <f t="shared" si="20"/>
        <v>0</v>
      </c>
      <c r="K339" s="35"/>
      <c r="L339" s="8"/>
      <c r="M339" s="7"/>
      <c r="N339" s="9" t="str">
        <f t="shared" si="21"/>
        <v/>
      </c>
      <c r="O339" s="20"/>
      <c r="Q339" s="606">
        <f t="shared" si="22"/>
        <v>0</v>
      </c>
      <c r="R339" s="606">
        <f t="shared" si="23"/>
        <v>0</v>
      </c>
    </row>
    <row r="340" spans="1:18">
      <c r="A340" s="575"/>
      <c r="B340" s="576"/>
      <c r="C340" s="567"/>
      <c r="D340" s="567"/>
      <c r="E340" s="25"/>
      <c r="F340" s="272"/>
      <c r="G340" s="272"/>
      <c r="H340" s="8"/>
      <c r="I340" s="8"/>
      <c r="J340" s="411">
        <f t="shared" si="20"/>
        <v>0</v>
      </c>
      <c r="K340" s="35"/>
      <c r="L340" s="8"/>
      <c r="M340" s="7"/>
      <c r="N340" s="9" t="str">
        <f t="shared" si="21"/>
        <v/>
      </c>
      <c r="O340" s="20"/>
      <c r="Q340" s="606">
        <f t="shared" si="22"/>
        <v>0</v>
      </c>
      <c r="R340" s="606">
        <f t="shared" si="23"/>
        <v>0</v>
      </c>
    </row>
    <row r="341" spans="1:18">
      <c r="A341" s="575"/>
      <c r="B341" s="576"/>
      <c r="C341" s="567"/>
      <c r="D341" s="567"/>
      <c r="E341" s="25"/>
      <c r="F341" s="272"/>
      <c r="G341" s="272"/>
      <c r="H341" s="8"/>
      <c r="I341" s="8"/>
      <c r="J341" s="411">
        <f t="shared" si="20"/>
        <v>0</v>
      </c>
      <c r="K341" s="35"/>
      <c r="L341" s="8"/>
      <c r="M341" s="7"/>
      <c r="N341" s="9" t="str">
        <f t="shared" si="21"/>
        <v/>
      </c>
      <c r="O341" s="20"/>
      <c r="Q341" s="606">
        <f t="shared" si="22"/>
        <v>0</v>
      </c>
      <c r="R341" s="606">
        <f t="shared" si="23"/>
        <v>0</v>
      </c>
    </row>
    <row r="342" spans="1:18">
      <c r="A342" s="575"/>
      <c r="B342" s="576"/>
      <c r="C342" s="567"/>
      <c r="D342" s="567"/>
      <c r="E342" s="25"/>
      <c r="F342" s="272"/>
      <c r="G342" s="272"/>
      <c r="H342" s="8"/>
      <c r="I342" s="8"/>
      <c r="J342" s="411">
        <f t="shared" si="20"/>
        <v>0</v>
      </c>
      <c r="K342" s="35"/>
      <c r="L342" s="8"/>
      <c r="M342" s="7"/>
      <c r="N342" s="9" t="str">
        <f t="shared" si="21"/>
        <v/>
      </c>
      <c r="O342" s="20"/>
      <c r="Q342" s="606">
        <f t="shared" si="22"/>
        <v>0</v>
      </c>
      <c r="R342" s="606">
        <f t="shared" si="23"/>
        <v>0</v>
      </c>
    </row>
    <row r="343" spans="1:18">
      <c r="A343" s="575"/>
      <c r="B343" s="576"/>
      <c r="C343" s="567"/>
      <c r="D343" s="567"/>
      <c r="E343" s="25"/>
      <c r="F343" s="272"/>
      <c r="G343" s="272"/>
      <c r="H343" s="8"/>
      <c r="I343" s="8"/>
      <c r="J343" s="411">
        <f t="shared" si="20"/>
        <v>0</v>
      </c>
      <c r="K343" s="35"/>
      <c r="L343" s="8"/>
      <c r="M343" s="7"/>
      <c r="N343" s="9" t="str">
        <f t="shared" si="21"/>
        <v/>
      </c>
      <c r="O343" s="20"/>
      <c r="Q343" s="606">
        <f t="shared" si="22"/>
        <v>0</v>
      </c>
      <c r="R343" s="606">
        <f t="shared" si="23"/>
        <v>0</v>
      </c>
    </row>
    <row r="344" spans="1:18">
      <c r="A344" s="575"/>
      <c r="B344" s="576"/>
      <c r="C344" s="567"/>
      <c r="D344" s="567"/>
      <c r="E344" s="25"/>
      <c r="F344" s="272"/>
      <c r="G344" s="272"/>
      <c r="H344" s="8"/>
      <c r="I344" s="8"/>
      <c r="J344" s="411">
        <f t="shared" si="20"/>
        <v>0</v>
      </c>
      <c r="K344" s="35"/>
      <c r="L344" s="8"/>
      <c r="M344" s="7"/>
      <c r="N344" s="9" t="str">
        <f t="shared" si="21"/>
        <v/>
      </c>
      <c r="O344" s="20"/>
      <c r="Q344" s="606">
        <f t="shared" si="22"/>
        <v>0</v>
      </c>
      <c r="R344" s="606">
        <f t="shared" si="23"/>
        <v>0</v>
      </c>
    </row>
    <row r="345" spans="1:18">
      <c r="A345" s="575"/>
      <c r="B345" s="576"/>
      <c r="C345" s="567"/>
      <c r="D345" s="567"/>
      <c r="E345" s="25"/>
      <c r="F345" s="272"/>
      <c r="G345" s="272"/>
      <c r="H345" s="8"/>
      <c r="I345" s="8"/>
      <c r="J345" s="411">
        <f t="shared" si="20"/>
        <v>0</v>
      </c>
      <c r="K345" s="35"/>
      <c r="L345" s="8"/>
      <c r="M345" s="7"/>
      <c r="N345" s="9" t="str">
        <f t="shared" si="21"/>
        <v/>
      </c>
      <c r="O345" s="20"/>
      <c r="Q345" s="606">
        <f t="shared" si="22"/>
        <v>0</v>
      </c>
      <c r="R345" s="606">
        <f t="shared" si="23"/>
        <v>0</v>
      </c>
    </row>
    <row r="346" spans="1:18">
      <c r="A346" s="575"/>
      <c r="B346" s="576"/>
      <c r="C346" s="567"/>
      <c r="D346" s="567"/>
      <c r="E346" s="25"/>
      <c r="F346" s="272"/>
      <c r="G346" s="272"/>
      <c r="H346" s="8"/>
      <c r="I346" s="8"/>
      <c r="J346" s="411">
        <f t="shared" si="20"/>
        <v>0</v>
      </c>
      <c r="K346" s="35"/>
      <c r="L346" s="8"/>
      <c r="M346" s="7"/>
      <c r="N346" s="9" t="str">
        <f t="shared" si="21"/>
        <v/>
      </c>
      <c r="O346" s="20"/>
      <c r="Q346" s="606">
        <f t="shared" si="22"/>
        <v>0</v>
      </c>
      <c r="R346" s="606">
        <f t="shared" si="23"/>
        <v>0</v>
      </c>
    </row>
    <row r="347" spans="1:18">
      <c r="A347" s="575"/>
      <c r="B347" s="576"/>
      <c r="C347" s="567"/>
      <c r="D347" s="567"/>
      <c r="E347" s="25"/>
      <c r="F347" s="272"/>
      <c r="G347" s="272"/>
      <c r="H347" s="8"/>
      <c r="I347" s="8"/>
      <c r="J347" s="411">
        <f t="shared" si="20"/>
        <v>0</v>
      </c>
      <c r="K347" s="35"/>
      <c r="L347" s="8"/>
      <c r="M347" s="7"/>
      <c r="N347" s="9" t="str">
        <f t="shared" si="21"/>
        <v/>
      </c>
      <c r="O347" s="20"/>
      <c r="Q347" s="606">
        <f t="shared" si="22"/>
        <v>0</v>
      </c>
      <c r="R347" s="606">
        <f t="shared" si="23"/>
        <v>0</v>
      </c>
    </row>
    <row r="348" spans="1:18">
      <c r="A348" s="575"/>
      <c r="B348" s="576"/>
      <c r="C348" s="567"/>
      <c r="D348" s="567"/>
      <c r="E348" s="25"/>
      <c r="F348" s="272"/>
      <c r="G348" s="272"/>
      <c r="H348" s="8"/>
      <c r="I348" s="8"/>
      <c r="J348" s="411">
        <f t="shared" si="20"/>
        <v>0</v>
      </c>
      <c r="K348" s="35"/>
      <c r="L348" s="8"/>
      <c r="M348" s="7"/>
      <c r="N348" s="9" t="str">
        <f t="shared" si="21"/>
        <v/>
      </c>
      <c r="O348" s="20"/>
      <c r="Q348" s="606">
        <f t="shared" si="22"/>
        <v>0</v>
      </c>
      <c r="R348" s="606">
        <f t="shared" si="23"/>
        <v>0</v>
      </c>
    </row>
    <row r="349" spans="1:18">
      <c r="A349" s="575"/>
      <c r="B349" s="576"/>
      <c r="C349" s="567"/>
      <c r="D349" s="567"/>
      <c r="E349" s="25"/>
      <c r="F349" s="272"/>
      <c r="G349" s="272"/>
      <c r="H349" s="8"/>
      <c r="I349" s="8"/>
      <c r="J349" s="411">
        <f t="shared" si="20"/>
        <v>0</v>
      </c>
      <c r="K349" s="35"/>
      <c r="L349" s="8"/>
      <c r="M349" s="7"/>
      <c r="N349" s="9" t="str">
        <f t="shared" si="21"/>
        <v/>
      </c>
      <c r="O349" s="20"/>
      <c r="Q349" s="606">
        <f t="shared" si="22"/>
        <v>0</v>
      </c>
      <c r="R349" s="606">
        <f t="shared" si="23"/>
        <v>0</v>
      </c>
    </row>
    <row r="350" spans="1:18">
      <c r="A350" s="575"/>
      <c r="B350" s="576"/>
      <c r="C350" s="567"/>
      <c r="D350" s="567"/>
      <c r="E350" s="25"/>
      <c r="F350" s="272"/>
      <c r="G350" s="272"/>
      <c r="H350" s="8"/>
      <c r="I350" s="8"/>
      <c r="J350" s="411">
        <f t="shared" si="20"/>
        <v>0</v>
      </c>
      <c r="K350" s="35"/>
      <c r="L350" s="8"/>
      <c r="M350" s="7"/>
      <c r="N350" s="9" t="str">
        <f t="shared" si="21"/>
        <v/>
      </c>
      <c r="O350" s="20"/>
      <c r="Q350" s="606">
        <f t="shared" si="22"/>
        <v>0</v>
      </c>
      <c r="R350" s="606">
        <f t="shared" si="23"/>
        <v>0</v>
      </c>
    </row>
    <row r="351" spans="1:18">
      <c r="A351" s="575"/>
      <c r="B351" s="576"/>
      <c r="C351" s="567"/>
      <c r="D351" s="567"/>
      <c r="E351" s="25"/>
      <c r="F351" s="272"/>
      <c r="G351" s="272"/>
      <c r="H351" s="8"/>
      <c r="I351" s="8"/>
      <c r="J351" s="411">
        <f t="shared" si="20"/>
        <v>0</v>
      </c>
      <c r="K351" s="35"/>
      <c r="L351" s="8"/>
      <c r="M351" s="7"/>
      <c r="N351" s="9" t="str">
        <f t="shared" si="21"/>
        <v/>
      </c>
      <c r="O351" s="20"/>
      <c r="Q351" s="606">
        <f t="shared" si="22"/>
        <v>0</v>
      </c>
      <c r="R351" s="606">
        <f t="shared" si="23"/>
        <v>0</v>
      </c>
    </row>
    <row r="352" spans="1:18">
      <c r="A352" s="575"/>
      <c r="B352" s="576"/>
      <c r="C352" s="567"/>
      <c r="D352" s="567"/>
      <c r="E352" s="25"/>
      <c r="F352" s="272"/>
      <c r="G352" s="272"/>
      <c r="H352" s="8"/>
      <c r="I352" s="8"/>
      <c r="J352" s="411">
        <f t="shared" si="20"/>
        <v>0</v>
      </c>
      <c r="K352" s="35"/>
      <c r="L352" s="8"/>
      <c r="M352" s="7"/>
      <c r="N352" s="9" t="str">
        <f t="shared" si="21"/>
        <v/>
      </c>
      <c r="O352" s="20"/>
      <c r="Q352" s="606">
        <f t="shared" si="22"/>
        <v>0</v>
      </c>
      <c r="R352" s="606">
        <f t="shared" si="23"/>
        <v>0</v>
      </c>
    </row>
    <row r="353" spans="1:18" ht="14.25" thickBot="1">
      <c r="A353" s="577"/>
      <c r="B353" s="578"/>
      <c r="C353" s="579"/>
      <c r="D353" s="579"/>
      <c r="E353" s="31"/>
      <c r="F353" s="274"/>
      <c r="G353" s="274"/>
      <c r="H353" s="33"/>
      <c r="I353" s="33"/>
      <c r="J353" s="412">
        <f t="shared" si="20"/>
        <v>0</v>
      </c>
      <c r="K353" s="30"/>
      <c r="L353" s="33"/>
      <c r="M353" s="32"/>
      <c r="N353" s="34" t="str">
        <f t="shared" si="21"/>
        <v/>
      </c>
      <c r="O353" s="21"/>
      <c r="Q353" s="606">
        <f t="shared" si="22"/>
        <v>0</v>
      </c>
      <c r="R353" s="606">
        <f t="shared" si="23"/>
        <v>0</v>
      </c>
    </row>
  </sheetData>
  <sheetProtection sheet="1" objects="1" scenarios="1" selectLockedCells="1"/>
  <mergeCells count="15">
    <mergeCell ref="A2:A4"/>
    <mergeCell ref="B2:B4"/>
    <mergeCell ref="C2:C4"/>
    <mergeCell ref="D2:D4"/>
    <mergeCell ref="E2:E4"/>
    <mergeCell ref="O2:O4"/>
    <mergeCell ref="F3:G3"/>
    <mergeCell ref="H3:I3"/>
    <mergeCell ref="J3:J4"/>
    <mergeCell ref="K3:K4"/>
    <mergeCell ref="L3:L4"/>
    <mergeCell ref="M3:M4"/>
    <mergeCell ref="N3:N4"/>
    <mergeCell ref="F2:J2"/>
    <mergeCell ref="K2:N2"/>
  </mergeCells>
  <phoneticPr fontId="14"/>
  <dataValidations count="5">
    <dataValidation type="list" allowBlank="1" showErrorMessage="1" sqref="K5:K353">
      <formula1>燃料種類</formula1>
      <formula2>0</formula2>
    </dataValidation>
    <dataValidation type="list" allowBlank="1" showErrorMessage="1" sqref="B5:B353">
      <formula1>月旬</formula1>
      <formula2>0</formula2>
    </dataValidation>
    <dataValidation type="list" allowBlank="1" showErrorMessage="1" sqref="A5:A353">
      <formula1>作業名</formula1>
      <formula2>0</formula2>
    </dataValidation>
    <dataValidation type="list" allowBlank="1" showInputMessage="1" showErrorMessage="1" sqref="C5:C353">
      <formula1>機械</formula1>
    </dataValidation>
    <dataValidation type="list" allowBlank="1" showInputMessage="1" showErrorMessage="1" sqref="D5:D353">
      <formula1>機械能力</formula1>
    </dataValidation>
  </dataValidations>
  <printOptions horizontalCentered="1"/>
  <pageMargins left="0.23622047244094491" right="0.23622047244094491" top="0.74803149606299213" bottom="0.74803149606299213" header="0.31496062992125984" footer="0.31496062992125984"/>
  <pageSetup paperSize="9" scale="74" firstPageNumber="0" fitToHeight="0" orientation="landscape" cellComments="asDisplayed" verticalDpi="300" r:id="rId1"/>
  <headerFooter alignWithMargins="0">
    <oddHeader>&amp;L&amp;D&amp;F &amp;A</oddHeader>
    <oddFooter>&amp;C&amp;14&amp;P/&amp;N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2"/>
  <sheetViews>
    <sheetView workbookViewId="0">
      <pane xSplit="1" ySplit="7" topLeftCell="B17" activePane="bottomRight" state="frozen"/>
      <selection pane="topRight" activeCell="B1" sqref="B1"/>
      <selection pane="bottomLeft" activeCell="A8" sqref="A8"/>
      <selection pane="bottomRight" activeCell="C20" sqref="C20"/>
    </sheetView>
  </sheetViews>
  <sheetFormatPr defaultRowHeight="13.5"/>
  <cols>
    <col min="1" max="1" width="9" style="305"/>
    <col min="2" max="7" width="12.625" style="305" customWidth="1"/>
    <col min="8" max="8" width="48.5" style="305" customWidth="1"/>
    <col min="9" max="9" width="9" style="305"/>
    <col min="10" max="10" width="24.125" style="305" customWidth="1"/>
    <col min="11" max="13" width="9" style="305"/>
    <col min="14" max="14" width="13.125" style="305" customWidth="1"/>
    <col min="15" max="15" width="12.625" style="305" bestFit="1" customWidth="1"/>
    <col min="16" max="16" width="13.125" style="305" bestFit="1" customWidth="1"/>
    <col min="17" max="17" width="15.5" style="305" bestFit="1" customWidth="1"/>
    <col min="18" max="16384" width="9" style="305"/>
  </cols>
  <sheetData>
    <row r="1" spans="1:17" ht="17.25">
      <c r="A1" s="309"/>
    </row>
    <row r="2" spans="1:17" ht="14.25" thickBot="1">
      <c r="A2" s="86"/>
      <c r="B2" s="610" t="s">
        <v>562</v>
      </c>
      <c r="C2" s="611"/>
      <c r="D2" s="611"/>
      <c r="E2" s="308"/>
    </row>
    <row r="3" spans="1:17" ht="14.25" thickBot="1">
      <c r="A3" s="86"/>
      <c r="B3" s="612" t="s">
        <v>563</v>
      </c>
      <c r="C3" s="637">
        <v>7</v>
      </c>
      <c r="D3" s="612" t="s">
        <v>564</v>
      </c>
      <c r="E3" s="308"/>
    </row>
    <row r="5" spans="1:17" ht="14.25" thickBot="1"/>
    <row r="6" spans="1:17" ht="18" customHeight="1">
      <c r="A6" s="504"/>
      <c r="B6" s="792" t="s">
        <v>409</v>
      </c>
      <c r="C6" s="793"/>
      <c r="D6" s="794"/>
      <c r="E6" s="790" t="s">
        <v>411</v>
      </c>
      <c r="F6" s="796" t="s">
        <v>412</v>
      </c>
      <c r="G6" s="790" t="s">
        <v>553</v>
      </c>
      <c r="H6" s="798" t="s">
        <v>573</v>
      </c>
      <c r="I6" s="306"/>
    </row>
    <row r="7" spans="1:17" ht="18" customHeight="1" thickBot="1">
      <c r="A7" s="505" t="s">
        <v>385</v>
      </c>
      <c r="B7" s="580" t="s">
        <v>551</v>
      </c>
      <c r="C7" s="581" t="s">
        <v>552</v>
      </c>
      <c r="D7" s="582" t="s">
        <v>386</v>
      </c>
      <c r="E7" s="795"/>
      <c r="F7" s="797"/>
      <c r="G7" s="791"/>
      <c r="H7" s="799"/>
      <c r="I7" s="307"/>
    </row>
    <row r="8" spans="1:17" ht="18" customHeight="1">
      <c r="A8" s="506">
        <v>1</v>
      </c>
      <c r="B8" s="532"/>
      <c r="C8" s="533"/>
      <c r="D8" s="534">
        <f>B8*C8</f>
        <v>0</v>
      </c>
      <c r="E8" s="550"/>
      <c r="F8" s="551"/>
      <c r="G8" s="552">
        <f>SUM(D8:F8)</f>
        <v>0</v>
      </c>
      <c r="H8" s="638"/>
      <c r="I8" s="308"/>
      <c r="Q8" s="89"/>
    </row>
    <row r="9" spans="1:17" ht="18" customHeight="1">
      <c r="A9" s="507">
        <v>2</v>
      </c>
      <c r="B9" s="535"/>
      <c r="C9" s="536"/>
      <c r="D9" s="537">
        <f t="shared" ref="D9:D13" si="0">B9*C9</f>
        <v>0</v>
      </c>
      <c r="E9" s="553"/>
      <c r="F9" s="554"/>
      <c r="G9" s="555">
        <f t="shared" ref="G9:G20" si="1">SUM(D9:F9)</f>
        <v>0</v>
      </c>
      <c r="H9" s="639"/>
      <c r="I9" s="308"/>
      <c r="Q9" s="89"/>
    </row>
    <row r="10" spans="1:17" ht="18" customHeight="1">
      <c r="A10" s="507">
        <v>3</v>
      </c>
      <c r="B10" s="535"/>
      <c r="C10" s="536"/>
      <c r="D10" s="537">
        <f t="shared" si="0"/>
        <v>0</v>
      </c>
      <c r="E10" s="553"/>
      <c r="F10" s="554"/>
      <c r="G10" s="555">
        <f t="shared" si="1"/>
        <v>0</v>
      </c>
      <c r="H10" s="639"/>
      <c r="I10" s="308"/>
    </row>
    <row r="11" spans="1:17" ht="18" customHeight="1">
      <c r="A11" s="507">
        <v>4</v>
      </c>
      <c r="B11" s="535"/>
      <c r="C11" s="536"/>
      <c r="D11" s="537">
        <f t="shared" si="0"/>
        <v>0</v>
      </c>
      <c r="E11" s="553"/>
      <c r="F11" s="554"/>
      <c r="G11" s="555">
        <f t="shared" si="1"/>
        <v>0</v>
      </c>
      <c r="H11" s="639"/>
      <c r="I11" s="308"/>
    </row>
    <row r="12" spans="1:17" ht="18" customHeight="1">
      <c r="A12" s="507">
        <v>5</v>
      </c>
      <c r="B12" s="535"/>
      <c r="C12" s="536"/>
      <c r="D12" s="537">
        <f t="shared" si="0"/>
        <v>0</v>
      </c>
      <c r="E12" s="553"/>
      <c r="F12" s="554"/>
      <c r="G12" s="555">
        <f t="shared" si="1"/>
        <v>0</v>
      </c>
      <c r="H12" s="639"/>
      <c r="I12" s="308"/>
    </row>
    <row r="13" spans="1:17" ht="18" customHeight="1">
      <c r="A13" s="507">
        <v>6</v>
      </c>
      <c r="B13" s="535"/>
      <c r="C13" s="536"/>
      <c r="D13" s="537">
        <f t="shared" si="0"/>
        <v>0</v>
      </c>
      <c r="E13" s="553"/>
      <c r="F13" s="554"/>
      <c r="G13" s="555">
        <f t="shared" si="1"/>
        <v>0</v>
      </c>
      <c r="H13" s="639"/>
      <c r="I13" s="308"/>
    </row>
    <row r="14" spans="1:17" ht="18" customHeight="1">
      <c r="A14" s="507">
        <v>7</v>
      </c>
      <c r="B14" s="535"/>
      <c r="C14" s="536"/>
      <c r="D14" s="538">
        <f t="shared" ref="D14:D19" si="2">B14*C14</f>
        <v>0</v>
      </c>
      <c r="E14" s="553"/>
      <c r="F14" s="554"/>
      <c r="G14" s="555">
        <f t="shared" si="1"/>
        <v>0</v>
      </c>
      <c r="H14" s="639"/>
      <c r="I14" s="308"/>
    </row>
    <row r="15" spans="1:17" ht="18" customHeight="1">
      <c r="A15" s="507">
        <v>8</v>
      </c>
      <c r="B15" s="535"/>
      <c r="C15" s="536"/>
      <c r="D15" s="538">
        <f t="shared" si="2"/>
        <v>0</v>
      </c>
      <c r="E15" s="553"/>
      <c r="F15" s="554"/>
      <c r="G15" s="555">
        <f t="shared" si="1"/>
        <v>0</v>
      </c>
      <c r="H15" s="639"/>
      <c r="I15" s="308"/>
    </row>
    <row r="16" spans="1:17" ht="18" customHeight="1">
      <c r="A16" s="507">
        <v>9</v>
      </c>
      <c r="B16" s="535"/>
      <c r="C16" s="536"/>
      <c r="D16" s="538">
        <f t="shared" si="2"/>
        <v>0</v>
      </c>
      <c r="E16" s="553"/>
      <c r="F16" s="554"/>
      <c r="G16" s="555">
        <f t="shared" si="1"/>
        <v>0</v>
      </c>
      <c r="H16" s="639"/>
      <c r="I16" s="308"/>
    </row>
    <row r="17" spans="1:9" ht="18" customHeight="1">
      <c r="A17" s="507">
        <v>10</v>
      </c>
      <c r="B17" s="535"/>
      <c r="C17" s="536"/>
      <c r="D17" s="538">
        <f t="shared" si="2"/>
        <v>0</v>
      </c>
      <c r="E17" s="553"/>
      <c r="F17" s="554"/>
      <c r="G17" s="555">
        <f t="shared" si="1"/>
        <v>0</v>
      </c>
      <c r="H17" s="639"/>
      <c r="I17" s="308"/>
    </row>
    <row r="18" spans="1:9" ht="18" customHeight="1">
      <c r="A18" s="507">
        <v>11</v>
      </c>
      <c r="B18" s="535"/>
      <c r="C18" s="536"/>
      <c r="D18" s="538">
        <f t="shared" si="2"/>
        <v>0</v>
      </c>
      <c r="E18" s="553"/>
      <c r="F18" s="554"/>
      <c r="G18" s="555">
        <f t="shared" si="1"/>
        <v>0</v>
      </c>
      <c r="H18" s="639"/>
      <c r="I18" s="308"/>
    </row>
    <row r="19" spans="1:9" ht="18" customHeight="1" thickBot="1">
      <c r="A19" s="508">
        <v>12</v>
      </c>
      <c r="B19" s="539"/>
      <c r="C19" s="540"/>
      <c r="D19" s="541">
        <f t="shared" si="2"/>
        <v>0</v>
      </c>
      <c r="E19" s="556"/>
      <c r="F19" s="557"/>
      <c r="G19" s="558">
        <f t="shared" si="1"/>
        <v>0</v>
      </c>
      <c r="H19" s="640"/>
      <c r="I19" s="308"/>
    </row>
    <row r="20" spans="1:9" ht="18" customHeight="1" thickBot="1">
      <c r="A20" s="510" t="s">
        <v>410</v>
      </c>
      <c r="B20" s="542">
        <v>280</v>
      </c>
      <c r="C20" s="543">
        <v>133</v>
      </c>
      <c r="D20" s="544">
        <f>B20*C20</f>
        <v>37240</v>
      </c>
      <c r="E20" s="559"/>
      <c r="F20" s="560">
        <v>15000</v>
      </c>
      <c r="G20" s="561">
        <f t="shared" si="1"/>
        <v>52240</v>
      </c>
      <c r="H20" s="641" t="s">
        <v>574</v>
      </c>
      <c r="I20" s="308"/>
    </row>
    <row r="21" spans="1:9" ht="18" customHeight="1" thickTop="1" thickBot="1">
      <c r="A21" s="509" t="s">
        <v>387</v>
      </c>
      <c r="B21" s="545">
        <f>SUM(B8:B20)</f>
        <v>280</v>
      </c>
      <c r="C21" s="546">
        <f>D21/B21</f>
        <v>133</v>
      </c>
      <c r="D21" s="547">
        <f>SUM(D8:D20)</f>
        <v>37240</v>
      </c>
      <c r="E21" s="548">
        <f t="shared" ref="E21:G21" si="3">SUM(E8:E20)</f>
        <v>0</v>
      </c>
      <c r="F21" s="549">
        <f t="shared" si="3"/>
        <v>15000</v>
      </c>
      <c r="G21" s="548">
        <f t="shared" si="3"/>
        <v>52240</v>
      </c>
      <c r="H21" s="642"/>
      <c r="I21" s="308"/>
    </row>
    <row r="22" spans="1:9" ht="18" customHeight="1"/>
  </sheetData>
  <sheetProtection sheet="1" objects="1" scenarios="1" selectLockedCells="1"/>
  <mergeCells count="5">
    <mergeCell ref="G6:G7"/>
    <mergeCell ref="B6:D6"/>
    <mergeCell ref="E6:E7"/>
    <mergeCell ref="F6:F7"/>
    <mergeCell ref="H6:H7"/>
  </mergeCells>
  <phoneticPr fontId="14"/>
  <dataValidations count="2">
    <dataValidation type="list" allowBlank="1" showInputMessage="1" showErrorMessage="1" sqref="D3">
      <formula1>本</formula1>
    </dataValidation>
    <dataValidation type="list" allowBlank="1" showInputMessage="1" showErrorMessage="1" sqref="B3">
      <formula1>植付本数</formula1>
    </dataValidation>
  </dataValidations>
  <pageMargins left="0.70866141732283472" right="0.70866141732283472" top="0.94488188976377963" bottom="0.74803149606299213" header="0.31496062992125984" footer="0.31496062992125984"/>
  <pageSetup paperSize="9" orientation="landscape" verticalDpi="0" r:id="rId1"/>
  <headerFooter>
    <oddHeader>&amp;L&amp;D&amp;F&amp;A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W428"/>
  <sheetViews>
    <sheetView showGridLines="0" zoomScalePageLayoutView="75" workbookViewId="0">
      <pane ySplit="2" topLeftCell="A135" activePane="bottomLeft" state="frozen"/>
      <selection activeCell="I22" sqref="I22"/>
      <selection pane="bottomLeft" activeCell="D137" sqref="D137"/>
    </sheetView>
  </sheetViews>
  <sheetFormatPr defaultRowHeight="12" zeroHeight="1" outlineLevelRow="1"/>
  <cols>
    <col min="1" max="1" width="2.125" style="199" customWidth="1"/>
    <col min="2" max="2" width="5.125" style="199" customWidth="1"/>
    <col min="3" max="3" width="18.875" style="199" bestFit="1" customWidth="1"/>
    <col min="4" max="4" width="9.625" style="199" bestFit="1" customWidth="1"/>
    <col min="5" max="5" width="6.625" style="199" customWidth="1"/>
    <col min="6" max="6" width="10.625" style="462" customWidth="1"/>
    <col min="7" max="7" width="7" style="199" customWidth="1"/>
    <col min="8" max="8" width="7.375" style="199" bestFit="1" customWidth="1"/>
    <col min="9" max="9" width="9.625" style="466" bestFit="1" customWidth="1"/>
    <col min="10" max="10" width="11.25" style="466" customWidth="1"/>
    <col min="11" max="12" width="11.25" style="463" hidden="1" customWidth="1"/>
    <col min="13" max="13" width="6.625" style="464" hidden="1" customWidth="1"/>
    <col min="14" max="16" width="11.25" style="463" hidden="1" customWidth="1"/>
    <col min="17" max="19" width="11.25" style="465" hidden="1" customWidth="1"/>
    <col min="20" max="22" width="11.25" style="199" hidden="1" customWidth="1"/>
    <col min="23" max="23" width="24.25" style="199" customWidth="1"/>
    <col min="24" max="16384" width="9" style="199"/>
  </cols>
  <sheetData>
    <row r="1" spans="2:23" ht="18" customHeight="1" thickBot="1">
      <c r="B1" s="348" t="s">
        <v>278</v>
      </c>
      <c r="C1" s="349"/>
      <c r="D1" s="800" t="s">
        <v>76</v>
      </c>
      <c r="E1" s="800"/>
      <c r="F1" s="420"/>
      <c r="G1" s="350"/>
      <c r="H1" s="351">
        <v>10</v>
      </c>
      <c r="I1" s="514"/>
      <c r="J1" s="515"/>
      <c r="K1" s="352"/>
      <c r="L1" s="352"/>
      <c r="M1" s="353"/>
      <c r="N1" s="352"/>
      <c r="O1" s="352"/>
      <c r="P1" s="352"/>
      <c r="Q1" s="354"/>
      <c r="R1" s="354"/>
      <c r="S1" s="354"/>
      <c r="T1" s="159"/>
      <c r="U1" s="159"/>
      <c r="V1" s="159"/>
      <c r="W1" s="355" t="str">
        <f>①技術体系!A2</f>
        <v>ビール大麦</v>
      </c>
    </row>
    <row r="2" spans="2:23" s="356" customFormat="1" ht="18" customHeight="1" thickBot="1">
      <c r="B2" s="584" t="s">
        <v>77</v>
      </c>
      <c r="C2" s="585" t="s">
        <v>78</v>
      </c>
      <c r="D2" s="586" t="s">
        <v>79</v>
      </c>
      <c r="E2" s="587" t="s">
        <v>80</v>
      </c>
      <c r="F2" s="588" t="s">
        <v>19</v>
      </c>
      <c r="G2" s="589" t="s">
        <v>81</v>
      </c>
      <c r="H2" s="586" t="s">
        <v>24</v>
      </c>
      <c r="I2" s="590" t="s">
        <v>82</v>
      </c>
      <c r="J2" s="590" t="s">
        <v>83</v>
      </c>
      <c r="K2" s="591" t="s">
        <v>84</v>
      </c>
      <c r="L2" s="591" t="s">
        <v>85</v>
      </c>
      <c r="M2" s="592" t="s">
        <v>80</v>
      </c>
      <c r="N2" s="591" t="s">
        <v>86</v>
      </c>
      <c r="O2" s="593" t="s">
        <v>87</v>
      </c>
      <c r="P2" s="594" t="s">
        <v>80</v>
      </c>
      <c r="Q2" s="595" t="s">
        <v>88</v>
      </c>
      <c r="R2" s="596" t="s">
        <v>89</v>
      </c>
      <c r="S2" s="597" t="s">
        <v>90</v>
      </c>
      <c r="T2" s="598" t="s">
        <v>91</v>
      </c>
      <c r="U2" s="599" t="s">
        <v>92</v>
      </c>
      <c r="V2" s="599" t="s">
        <v>93</v>
      </c>
      <c r="W2" s="600" t="s">
        <v>94</v>
      </c>
    </row>
    <row r="3" spans="2:23" s="356" customFormat="1" ht="12.95" customHeight="1">
      <c r="B3" s="801" t="s">
        <v>98</v>
      </c>
      <c r="C3" s="260" t="s">
        <v>529</v>
      </c>
      <c r="D3" s="219">
        <v>7</v>
      </c>
      <c r="E3" s="261" t="s">
        <v>525</v>
      </c>
      <c r="F3" s="421">
        <v>250.03</v>
      </c>
      <c r="G3" s="221">
        <v>1</v>
      </c>
      <c r="H3" s="222">
        <v>1</v>
      </c>
      <c r="I3" s="358">
        <f>IF(C3=0,"",D3*1/G3*H3)</f>
        <v>7</v>
      </c>
      <c r="J3" s="518">
        <f>IF(C3=0,"",ROUND(F3*I3,0))</f>
        <v>1750</v>
      </c>
      <c r="K3" s="223"/>
      <c r="L3" s="223"/>
      <c r="M3" s="224"/>
      <c r="N3" s="223"/>
      <c r="O3" s="225">
        <v>0</v>
      </c>
      <c r="P3" s="226"/>
      <c r="Q3" s="227"/>
      <c r="R3" s="228"/>
      <c r="S3" s="229"/>
      <c r="T3" s="230" t="s">
        <v>293</v>
      </c>
      <c r="U3" s="231" t="s">
        <v>293</v>
      </c>
      <c r="V3" s="232" t="s">
        <v>293</v>
      </c>
      <c r="W3" s="262" t="s">
        <v>539</v>
      </c>
    </row>
    <row r="4" spans="2:23" s="356" customFormat="1" ht="12.95" customHeight="1">
      <c r="B4" s="802"/>
      <c r="C4" s="196"/>
      <c r="D4" s="177"/>
      <c r="E4" s="195"/>
      <c r="F4" s="422"/>
      <c r="G4" s="180"/>
      <c r="H4" s="181"/>
      <c r="I4" s="360" t="str">
        <f t="shared" ref="I4:I7" si="0">IF(C4=0,"",D4*1/G4*H4)</f>
        <v/>
      </c>
      <c r="J4" s="519" t="str">
        <f t="shared" ref="J4:J7" si="1">IF(C4=0,"",ROUND(F4*I4,0))</f>
        <v/>
      </c>
      <c r="K4" s="182"/>
      <c r="L4" s="182"/>
      <c r="M4" s="183"/>
      <c r="N4" s="182"/>
      <c r="O4" s="184"/>
      <c r="P4" s="185"/>
      <c r="Q4" s="186"/>
      <c r="R4" s="187"/>
      <c r="S4" s="188"/>
      <c r="T4" s="189"/>
      <c r="U4" s="190"/>
      <c r="V4" s="191"/>
      <c r="W4" s="263"/>
    </row>
    <row r="5" spans="2:23" s="356" customFormat="1" ht="12.95" customHeight="1">
      <c r="B5" s="802"/>
      <c r="C5" s="196"/>
      <c r="D5" s="177"/>
      <c r="E5" s="195"/>
      <c r="F5" s="422"/>
      <c r="G5" s="180"/>
      <c r="H5" s="181"/>
      <c r="I5" s="360" t="str">
        <f t="shared" si="0"/>
        <v/>
      </c>
      <c r="J5" s="519" t="str">
        <f t="shared" si="1"/>
        <v/>
      </c>
      <c r="K5" s="182"/>
      <c r="L5" s="182"/>
      <c r="M5" s="183"/>
      <c r="N5" s="182"/>
      <c r="O5" s="184"/>
      <c r="P5" s="185"/>
      <c r="Q5" s="186"/>
      <c r="R5" s="187"/>
      <c r="S5" s="188"/>
      <c r="T5" s="189"/>
      <c r="U5" s="190"/>
      <c r="V5" s="191"/>
      <c r="W5" s="263"/>
    </row>
    <row r="6" spans="2:23" s="356" customFormat="1" ht="12.95" customHeight="1">
      <c r="B6" s="802"/>
      <c r="C6" s="196"/>
      <c r="D6" s="177"/>
      <c r="E6" s="195"/>
      <c r="F6" s="422"/>
      <c r="G6" s="180"/>
      <c r="H6" s="181"/>
      <c r="I6" s="360" t="str">
        <f t="shared" si="0"/>
        <v/>
      </c>
      <c r="J6" s="519" t="str">
        <f t="shared" si="1"/>
        <v/>
      </c>
      <c r="K6" s="182"/>
      <c r="L6" s="182"/>
      <c r="M6" s="183"/>
      <c r="N6" s="182"/>
      <c r="O6" s="184"/>
      <c r="P6" s="185"/>
      <c r="Q6" s="186"/>
      <c r="R6" s="187"/>
      <c r="S6" s="188"/>
      <c r="T6" s="189"/>
      <c r="U6" s="190"/>
      <c r="V6" s="191"/>
      <c r="W6" s="263"/>
    </row>
    <row r="7" spans="2:23" s="356" customFormat="1" ht="12.95" customHeight="1" thickBot="1">
      <c r="B7" s="802"/>
      <c r="C7" s="264"/>
      <c r="D7" s="236"/>
      <c r="E7" s="257"/>
      <c r="F7" s="423"/>
      <c r="G7" s="238"/>
      <c r="H7" s="239"/>
      <c r="I7" s="361" t="str">
        <f t="shared" si="0"/>
        <v/>
      </c>
      <c r="J7" s="520" t="str">
        <f t="shared" si="1"/>
        <v/>
      </c>
      <c r="K7" s="240"/>
      <c r="L7" s="240"/>
      <c r="M7" s="241"/>
      <c r="N7" s="240"/>
      <c r="O7" s="242"/>
      <c r="P7" s="243"/>
      <c r="Q7" s="244"/>
      <c r="R7" s="245"/>
      <c r="S7" s="246"/>
      <c r="T7" s="247"/>
      <c r="U7" s="248"/>
      <c r="V7" s="249"/>
      <c r="W7" s="265"/>
    </row>
    <row r="8" spans="2:23" s="356" customFormat="1" ht="12.95" customHeight="1" thickTop="1" thickBot="1">
      <c r="B8" s="803"/>
      <c r="C8" s="512" t="s">
        <v>294</v>
      </c>
      <c r="D8" s="235"/>
      <c r="E8" s="334"/>
      <c r="F8" s="424"/>
      <c r="G8" s="335"/>
      <c r="H8" s="336"/>
      <c r="I8" s="345"/>
      <c r="J8" s="517">
        <f>SUM(J3:J7)</f>
        <v>1750</v>
      </c>
      <c r="K8" s="337"/>
      <c r="L8" s="337"/>
      <c r="M8" s="338"/>
      <c r="N8" s="337"/>
      <c r="O8" s="339"/>
      <c r="P8" s="340"/>
      <c r="Q8" s="341"/>
      <c r="R8" s="342"/>
      <c r="S8" s="343"/>
      <c r="T8" s="513"/>
      <c r="U8" s="345"/>
      <c r="V8" s="346"/>
      <c r="W8" s="347"/>
    </row>
    <row r="9" spans="2:23" ht="12.95" customHeight="1">
      <c r="B9" s="807" t="s">
        <v>95</v>
      </c>
      <c r="C9" s="251" t="s">
        <v>520</v>
      </c>
      <c r="D9" s="219">
        <v>100</v>
      </c>
      <c r="E9" s="220" t="s">
        <v>525</v>
      </c>
      <c r="F9" s="421">
        <v>18.350000000000001</v>
      </c>
      <c r="G9" s="221">
        <v>1</v>
      </c>
      <c r="H9" s="222">
        <v>1</v>
      </c>
      <c r="I9" s="358">
        <f t="shared" ref="I9:I19" si="2">IF(C9=0,"",D9*1/G9*H9)</f>
        <v>100</v>
      </c>
      <c r="J9" s="518">
        <f t="shared" ref="J9:J73" si="3">IF(C9=0,"",ROUND(F9*I9,0))</f>
        <v>1835</v>
      </c>
      <c r="K9" s="223"/>
      <c r="L9" s="223"/>
      <c r="M9" s="224"/>
      <c r="N9" s="223"/>
      <c r="O9" s="225">
        <v>0</v>
      </c>
      <c r="P9" s="226"/>
      <c r="Q9" s="227"/>
      <c r="R9" s="228"/>
      <c r="S9" s="229"/>
      <c r="T9" s="230" t="s">
        <v>293</v>
      </c>
      <c r="U9" s="231" t="s">
        <v>293</v>
      </c>
      <c r="V9" s="232" t="s">
        <v>293</v>
      </c>
      <c r="W9" s="233"/>
    </row>
    <row r="10" spans="2:23" ht="12.95" customHeight="1">
      <c r="B10" s="810"/>
      <c r="C10" s="252" t="s">
        <v>521</v>
      </c>
      <c r="D10" s="160">
        <v>42.8</v>
      </c>
      <c r="E10" s="161" t="s">
        <v>525</v>
      </c>
      <c r="F10" s="425">
        <v>73.3</v>
      </c>
      <c r="G10" s="162">
        <v>1</v>
      </c>
      <c r="H10" s="163">
        <v>1</v>
      </c>
      <c r="I10" s="521">
        <f t="shared" si="2"/>
        <v>42.8</v>
      </c>
      <c r="J10" s="522">
        <f t="shared" si="3"/>
        <v>3137</v>
      </c>
      <c r="K10" s="164"/>
      <c r="L10" s="164"/>
      <c r="M10" s="165"/>
      <c r="N10" s="164"/>
      <c r="O10" s="166">
        <v>0</v>
      </c>
      <c r="P10" s="167"/>
      <c r="Q10" s="168"/>
      <c r="R10" s="169"/>
      <c r="S10" s="170"/>
      <c r="T10" s="171" t="s">
        <v>293</v>
      </c>
      <c r="U10" s="172" t="s">
        <v>293</v>
      </c>
      <c r="V10" s="173" t="s">
        <v>293</v>
      </c>
      <c r="W10" s="234"/>
    </row>
    <row r="11" spans="2:23" ht="12.95" customHeight="1">
      <c r="B11" s="810"/>
      <c r="C11" s="253" t="s">
        <v>521</v>
      </c>
      <c r="D11" s="160">
        <v>14.25</v>
      </c>
      <c r="E11" s="161" t="s">
        <v>525</v>
      </c>
      <c r="F11" s="425">
        <v>73.3</v>
      </c>
      <c r="G11" s="162">
        <v>1</v>
      </c>
      <c r="H11" s="163">
        <v>1</v>
      </c>
      <c r="I11" s="521">
        <f t="shared" si="2"/>
        <v>14.25</v>
      </c>
      <c r="J11" s="522">
        <f t="shared" si="3"/>
        <v>1045</v>
      </c>
      <c r="K11" s="164"/>
      <c r="L11" s="164"/>
      <c r="M11" s="165"/>
      <c r="N11" s="164"/>
      <c r="O11" s="166">
        <v>0</v>
      </c>
      <c r="P11" s="167"/>
      <c r="Q11" s="168"/>
      <c r="R11" s="169"/>
      <c r="S11" s="170"/>
      <c r="T11" s="171" t="s">
        <v>293</v>
      </c>
      <c r="U11" s="172" t="s">
        <v>293</v>
      </c>
      <c r="V11" s="173" t="s">
        <v>293</v>
      </c>
      <c r="W11" s="234"/>
    </row>
    <row r="12" spans="2:23" ht="12.95" customHeight="1">
      <c r="B12" s="810"/>
      <c r="C12" s="254" t="s">
        <v>521</v>
      </c>
      <c r="D12" s="160">
        <v>14.25</v>
      </c>
      <c r="E12" s="161" t="s">
        <v>114</v>
      </c>
      <c r="F12" s="425">
        <v>73.3</v>
      </c>
      <c r="G12" s="162">
        <v>1</v>
      </c>
      <c r="H12" s="163">
        <v>1</v>
      </c>
      <c r="I12" s="521">
        <f t="shared" si="2"/>
        <v>14.25</v>
      </c>
      <c r="J12" s="522">
        <f t="shared" si="3"/>
        <v>1045</v>
      </c>
      <c r="K12" s="164"/>
      <c r="L12" s="164"/>
      <c r="M12" s="165"/>
      <c r="N12" s="164"/>
      <c r="O12" s="166"/>
      <c r="P12" s="167"/>
      <c r="Q12" s="168"/>
      <c r="R12" s="169"/>
      <c r="S12" s="170"/>
      <c r="T12" s="171"/>
      <c r="U12" s="172"/>
      <c r="V12" s="173"/>
      <c r="W12" s="234"/>
    </row>
    <row r="13" spans="2:23" ht="12.95" customHeight="1">
      <c r="B13" s="810"/>
      <c r="C13" s="254"/>
      <c r="D13" s="160"/>
      <c r="E13" s="161"/>
      <c r="F13" s="425"/>
      <c r="G13" s="162"/>
      <c r="H13" s="163"/>
      <c r="I13" s="521" t="str">
        <f t="shared" si="2"/>
        <v/>
      </c>
      <c r="J13" s="522" t="str">
        <f t="shared" si="3"/>
        <v/>
      </c>
      <c r="K13" s="164"/>
      <c r="L13" s="164"/>
      <c r="M13" s="165"/>
      <c r="N13" s="164"/>
      <c r="O13" s="166"/>
      <c r="P13" s="167"/>
      <c r="Q13" s="168"/>
      <c r="R13" s="169"/>
      <c r="S13" s="170"/>
      <c r="T13" s="171"/>
      <c r="U13" s="172"/>
      <c r="V13" s="173"/>
      <c r="W13" s="234"/>
    </row>
    <row r="14" spans="2:23" ht="12.95" customHeight="1">
      <c r="B14" s="810"/>
      <c r="C14" s="254"/>
      <c r="D14" s="160"/>
      <c r="E14" s="161"/>
      <c r="F14" s="425"/>
      <c r="G14" s="162"/>
      <c r="H14" s="163"/>
      <c r="I14" s="521" t="str">
        <f t="shared" si="2"/>
        <v/>
      </c>
      <c r="J14" s="522" t="str">
        <f t="shared" si="3"/>
        <v/>
      </c>
      <c r="K14" s="164"/>
      <c r="L14" s="164"/>
      <c r="M14" s="165"/>
      <c r="N14" s="164"/>
      <c r="O14" s="166"/>
      <c r="P14" s="167"/>
      <c r="Q14" s="168"/>
      <c r="R14" s="169"/>
      <c r="S14" s="170"/>
      <c r="T14" s="171"/>
      <c r="U14" s="172"/>
      <c r="V14" s="173"/>
      <c r="W14" s="234"/>
    </row>
    <row r="15" spans="2:23" ht="12.95" customHeight="1">
      <c r="B15" s="810"/>
      <c r="C15" s="254"/>
      <c r="D15" s="160"/>
      <c r="E15" s="161"/>
      <c r="F15" s="425"/>
      <c r="G15" s="162"/>
      <c r="H15" s="163"/>
      <c r="I15" s="521" t="str">
        <f t="shared" si="2"/>
        <v/>
      </c>
      <c r="J15" s="522" t="str">
        <f t="shared" si="3"/>
        <v/>
      </c>
      <c r="K15" s="164"/>
      <c r="L15" s="164"/>
      <c r="M15" s="165"/>
      <c r="N15" s="164"/>
      <c r="O15" s="166"/>
      <c r="P15" s="167"/>
      <c r="Q15" s="168"/>
      <c r="R15" s="169"/>
      <c r="S15" s="170"/>
      <c r="T15" s="171"/>
      <c r="U15" s="172"/>
      <c r="V15" s="173"/>
      <c r="W15" s="234"/>
    </row>
    <row r="16" spans="2:23" ht="12.95" customHeight="1">
      <c r="B16" s="810"/>
      <c r="C16" s="254"/>
      <c r="D16" s="160"/>
      <c r="E16" s="161"/>
      <c r="F16" s="425"/>
      <c r="G16" s="162"/>
      <c r="H16" s="163"/>
      <c r="I16" s="521" t="str">
        <f t="shared" si="2"/>
        <v/>
      </c>
      <c r="J16" s="522" t="str">
        <f t="shared" si="3"/>
        <v/>
      </c>
      <c r="K16" s="164"/>
      <c r="L16" s="164"/>
      <c r="M16" s="165"/>
      <c r="N16" s="164"/>
      <c r="O16" s="166"/>
      <c r="P16" s="167"/>
      <c r="Q16" s="168"/>
      <c r="R16" s="169"/>
      <c r="S16" s="170"/>
      <c r="T16" s="171"/>
      <c r="U16" s="172"/>
      <c r="V16" s="173"/>
      <c r="W16" s="234"/>
    </row>
    <row r="17" spans="2:23" ht="12.95" customHeight="1">
      <c r="B17" s="810"/>
      <c r="C17" s="254"/>
      <c r="D17" s="160"/>
      <c r="E17" s="161"/>
      <c r="F17" s="425"/>
      <c r="G17" s="162"/>
      <c r="H17" s="163"/>
      <c r="I17" s="521" t="str">
        <f t="shared" si="2"/>
        <v/>
      </c>
      <c r="J17" s="522" t="str">
        <f t="shared" si="3"/>
        <v/>
      </c>
      <c r="K17" s="164"/>
      <c r="L17" s="164"/>
      <c r="M17" s="165"/>
      <c r="N17" s="164"/>
      <c r="O17" s="166"/>
      <c r="P17" s="167"/>
      <c r="Q17" s="168"/>
      <c r="R17" s="169"/>
      <c r="S17" s="170"/>
      <c r="T17" s="171"/>
      <c r="U17" s="172"/>
      <c r="V17" s="173"/>
      <c r="W17" s="234"/>
    </row>
    <row r="18" spans="2:23" ht="12.95" customHeight="1">
      <c r="B18" s="810"/>
      <c r="C18" s="254"/>
      <c r="D18" s="160"/>
      <c r="E18" s="161"/>
      <c r="F18" s="425"/>
      <c r="G18" s="162"/>
      <c r="H18" s="163"/>
      <c r="I18" s="521" t="str">
        <f t="shared" si="2"/>
        <v/>
      </c>
      <c r="J18" s="522" t="str">
        <f t="shared" si="3"/>
        <v/>
      </c>
      <c r="K18" s="164"/>
      <c r="L18" s="164"/>
      <c r="M18" s="165"/>
      <c r="N18" s="164"/>
      <c r="O18" s="166"/>
      <c r="P18" s="167"/>
      <c r="Q18" s="168"/>
      <c r="R18" s="169"/>
      <c r="S18" s="170"/>
      <c r="T18" s="171"/>
      <c r="U18" s="172"/>
      <c r="V18" s="173"/>
      <c r="W18" s="234"/>
    </row>
    <row r="19" spans="2:23" ht="12.95" customHeight="1" thickBot="1">
      <c r="B19" s="810"/>
      <c r="C19" s="255"/>
      <c r="D19" s="236"/>
      <c r="E19" s="237"/>
      <c r="F19" s="423"/>
      <c r="G19" s="238"/>
      <c r="H19" s="239"/>
      <c r="I19" s="361" t="str">
        <f t="shared" si="2"/>
        <v/>
      </c>
      <c r="J19" s="520" t="str">
        <f t="shared" si="3"/>
        <v/>
      </c>
      <c r="K19" s="240"/>
      <c r="L19" s="240"/>
      <c r="M19" s="241"/>
      <c r="N19" s="240"/>
      <c r="O19" s="242"/>
      <c r="P19" s="243"/>
      <c r="Q19" s="244"/>
      <c r="R19" s="245"/>
      <c r="S19" s="246"/>
      <c r="T19" s="247"/>
      <c r="U19" s="248"/>
      <c r="V19" s="249"/>
      <c r="W19" s="250"/>
    </row>
    <row r="20" spans="2:23" ht="12.95" customHeight="1" thickTop="1" thickBot="1">
      <c r="B20" s="811"/>
      <c r="C20" s="512" t="s">
        <v>294</v>
      </c>
      <c r="D20" s="235"/>
      <c r="E20" s="334"/>
      <c r="F20" s="424"/>
      <c r="G20" s="335"/>
      <c r="H20" s="336"/>
      <c r="I20" s="345"/>
      <c r="J20" s="517">
        <f>SUM(J9:J19)</f>
        <v>7062</v>
      </c>
      <c r="K20" s="337"/>
      <c r="L20" s="337"/>
      <c r="M20" s="338"/>
      <c r="N20" s="337"/>
      <c r="O20" s="339"/>
      <c r="P20" s="340"/>
      <c r="Q20" s="341"/>
      <c r="R20" s="342"/>
      <c r="S20" s="343"/>
      <c r="T20" s="513"/>
      <c r="U20" s="345"/>
      <c r="V20" s="346"/>
      <c r="W20" s="347"/>
    </row>
    <row r="21" spans="2:23" ht="12.95" customHeight="1">
      <c r="B21" s="801" t="s">
        <v>101</v>
      </c>
      <c r="C21" s="218" t="s">
        <v>522</v>
      </c>
      <c r="D21" s="219">
        <v>200</v>
      </c>
      <c r="E21" s="220" t="s">
        <v>103</v>
      </c>
      <c r="F21" s="421">
        <v>6.4</v>
      </c>
      <c r="G21" s="221">
        <v>1</v>
      </c>
      <c r="H21" s="222">
        <v>1</v>
      </c>
      <c r="I21" s="358">
        <f t="shared" ref="I21:I60" si="4">IF(C21=0,"",D21*1/G21*H21)</f>
        <v>200</v>
      </c>
      <c r="J21" s="518">
        <f t="shared" si="3"/>
        <v>1280</v>
      </c>
      <c r="K21" s="223"/>
      <c r="L21" s="223"/>
      <c r="M21" s="224"/>
      <c r="N21" s="223"/>
      <c r="O21" s="225">
        <v>0</v>
      </c>
      <c r="P21" s="226"/>
      <c r="Q21" s="227"/>
      <c r="R21" s="228"/>
      <c r="S21" s="229"/>
      <c r="T21" s="230" t="s">
        <v>293</v>
      </c>
      <c r="U21" s="231" t="s">
        <v>293</v>
      </c>
      <c r="V21" s="232" t="s">
        <v>293</v>
      </c>
      <c r="W21" s="233"/>
    </row>
    <row r="22" spans="2:23" ht="12.95" customHeight="1">
      <c r="B22" s="802"/>
      <c r="C22" s="175" t="s">
        <v>523</v>
      </c>
      <c r="D22" s="160">
        <v>100</v>
      </c>
      <c r="E22" s="161" t="s">
        <v>103</v>
      </c>
      <c r="F22" s="425">
        <v>13.38</v>
      </c>
      <c r="G22" s="162">
        <v>1</v>
      </c>
      <c r="H22" s="163">
        <v>1</v>
      </c>
      <c r="I22" s="521">
        <f t="shared" si="4"/>
        <v>100</v>
      </c>
      <c r="J22" s="522">
        <f t="shared" si="3"/>
        <v>1338</v>
      </c>
      <c r="K22" s="164"/>
      <c r="L22" s="164"/>
      <c r="M22" s="165"/>
      <c r="N22" s="164"/>
      <c r="O22" s="166">
        <v>0</v>
      </c>
      <c r="P22" s="167"/>
      <c r="Q22" s="168"/>
      <c r="R22" s="169"/>
      <c r="S22" s="170"/>
      <c r="T22" s="171" t="s">
        <v>293</v>
      </c>
      <c r="U22" s="172" t="s">
        <v>293</v>
      </c>
      <c r="V22" s="173" t="s">
        <v>293</v>
      </c>
      <c r="W22" s="234"/>
    </row>
    <row r="23" spans="2:23" ht="12.95" customHeight="1">
      <c r="B23" s="802"/>
      <c r="C23" s="175" t="s">
        <v>524</v>
      </c>
      <c r="D23" s="160">
        <v>200</v>
      </c>
      <c r="E23" s="161" t="s">
        <v>105</v>
      </c>
      <c r="F23" s="425">
        <v>4.298</v>
      </c>
      <c r="G23" s="162">
        <v>1</v>
      </c>
      <c r="H23" s="163">
        <v>1</v>
      </c>
      <c r="I23" s="521">
        <f t="shared" si="4"/>
        <v>200</v>
      </c>
      <c r="J23" s="522">
        <f t="shared" si="3"/>
        <v>860</v>
      </c>
      <c r="K23" s="164"/>
      <c r="L23" s="164"/>
      <c r="M23" s="165"/>
      <c r="N23" s="164"/>
      <c r="O23" s="166">
        <v>0</v>
      </c>
      <c r="P23" s="167"/>
      <c r="Q23" s="168"/>
      <c r="R23" s="169"/>
      <c r="S23" s="170"/>
      <c r="T23" s="171" t="s">
        <v>293</v>
      </c>
      <c r="U23" s="172" t="s">
        <v>293</v>
      </c>
      <c r="V23" s="173" t="s">
        <v>293</v>
      </c>
      <c r="W23" s="234"/>
    </row>
    <row r="24" spans="2:23" ht="12.95" customHeight="1">
      <c r="B24" s="802"/>
      <c r="C24" s="175"/>
      <c r="D24" s="160"/>
      <c r="E24" s="161"/>
      <c r="F24" s="425"/>
      <c r="G24" s="162"/>
      <c r="H24" s="163"/>
      <c r="I24" s="521" t="str">
        <f t="shared" si="4"/>
        <v/>
      </c>
      <c r="J24" s="522" t="str">
        <f t="shared" si="3"/>
        <v/>
      </c>
      <c r="K24" s="164"/>
      <c r="L24" s="164"/>
      <c r="M24" s="165"/>
      <c r="N24" s="164"/>
      <c r="O24" s="166">
        <v>0</v>
      </c>
      <c r="P24" s="167"/>
      <c r="Q24" s="168"/>
      <c r="R24" s="169"/>
      <c r="S24" s="170"/>
      <c r="T24" s="171" t="s">
        <v>293</v>
      </c>
      <c r="U24" s="172" t="s">
        <v>293</v>
      </c>
      <c r="V24" s="173" t="s">
        <v>293</v>
      </c>
      <c r="W24" s="234"/>
    </row>
    <row r="25" spans="2:23" ht="12.95" customHeight="1">
      <c r="B25" s="802"/>
      <c r="C25" s="175"/>
      <c r="D25" s="160"/>
      <c r="E25" s="161"/>
      <c r="F25" s="425"/>
      <c r="G25" s="162"/>
      <c r="H25" s="163"/>
      <c r="I25" s="521" t="str">
        <f t="shared" si="4"/>
        <v/>
      </c>
      <c r="J25" s="522" t="str">
        <f t="shared" si="3"/>
        <v/>
      </c>
      <c r="K25" s="164"/>
      <c r="L25" s="164"/>
      <c r="M25" s="165"/>
      <c r="N25" s="164"/>
      <c r="O25" s="166">
        <v>0</v>
      </c>
      <c r="P25" s="167"/>
      <c r="Q25" s="168"/>
      <c r="R25" s="169"/>
      <c r="S25" s="170"/>
      <c r="T25" s="171" t="s">
        <v>293</v>
      </c>
      <c r="U25" s="172" t="s">
        <v>293</v>
      </c>
      <c r="V25" s="173" t="s">
        <v>293</v>
      </c>
      <c r="W25" s="234"/>
    </row>
    <row r="26" spans="2:23" ht="12.95" customHeight="1">
      <c r="B26" s="802"/>
      <c r="C26" s="175"/>
      <c r="D26" s="160"/>
      <c r="E26" s="161"/>
      <c r="F26" s="425"/>
      <c r="G26" s="162"/>
      <c r="H26" s="163"/>
      <c r="I26" s="521" t="str">
        <f t="shared" si="4"/>
        <v/>
      </c>
      <c r="J26" s="522" t="str">
        <f t="shared" si="3"/>
        <v/>
      </c>
      <c r="K26" s="164"/>
      <c r="L26" s="164"/>
      <c r="M26" s="165"/>
      <c r="N26" s="164"/>
      <c r="O26" s="166">
        <v>0</v>
      </c>
      <c r="P26" s="167"/>
      <c r="Q26" s="168"/>
      <c r="R26" s="169"/>
      <c r="S26" s="170"/>
      <c r="T26" s="171" t="s">
        <v>293</v>
      </c>
      <c r="U26" s="172" t="s">
        <v>293</v>
      </c>
      <c r="V26" s="173" t="s">
        <v>293</v>
      </c>
      <c r="W26" s="234"/>
    </row>
    <row r="27" spans="2:23" ht="12.95" hidden="1" customHeight="1" outlineLevel="1">
      <c r="B27" s="802"/>
      <c r="C27" s="175"/>
      <c r="D27" s="160"/>
      <c r="E27" s="161"/>
      <c r="F27" s="425"/>
      <c r="G27" s="162"/>
      <c r="H27" s="163"/>
      <c r="I27" s="521" t="str">
        <f t="shared" si="4"/>
        <v/>
      </c>
      <c r="J27" s="522" t="str">
        <f t="shared" si="3"/>
        <v/>
      </c>
      <c r="K27" s="164"/>
      <c r="L27" s="164"/>
      <c r="M27" s="165"/>
      <c r="N27" s="164"/>
      <c r="O27" s="166">
        <v>0</v>
      </c>
      <c r="P27" s="167"/>
      <c r="Q27" s="168"/>
      <c r="R27" s="169"/>
      <c r="S27" s="170"/>
      <c r="T27" s="171" t="s">
        <v>293</v>
      </c>
      <c r="U27" s="172" t="s">
        <v>293</v>
      </c>
      <c r="V27" s="173" t="s">
        <v>293</v>
      </c>
      <c r="W27" s="258"/>
    </row>
    <row r="28" spans="2:23" ht="12.95" hidden="1" customHeight="1" outlineLevel="1">
      <c r="B28" s="802"/>
      <c r="C28" s="175"/>
      <c r="D28" s="160"/>
      <c r="E28" s="161"/>
      <c r="F28" s="425"/>
      <c r="G28" s="162"/>
      <c r="H28" s="163"/>
      <c r="I28" s="521" t="str">
        <f t="shared" si="4"/>
        <v/>
      </c>
      <c r="J28" s="522" t="str">
        <f t="shared" si="3"/>
        <v/>
      </c>
      <c r="K28" s="164"/>
      <c r="L28" s="164"/>
      <c r="M28" s="165"/>
      <c r="N28" s="164"/>
      <c r="O28" s="166">
        <v>0</v>
      </c>
      <c r="P28" s="167"/>
      <c r="Q28" s="168"/>
      <c r="R28" s="169"/>
      <c r="S28" s="170"/>
      <c r="T28" s="171" t="s">
        <v>293</v>
      </c>
      <c r="U28" s="172" t="s">
        <v>293</v>
      </c>
      <c r="V28" s="173" t="s">
        <v>293</v>
      </c>
      <c r="W28" s="258"/>
    </row>
    <row r="29" spans="2:23" ht="12.95" hidden="1" customHeight="1" outlineLevel="1">
      <c r="B29" s="802"/>
      <c r="C29" s="175"/>
      <c r="D29" s="160"/>
      <c r="E29" s="161"/>
      <c r="F29" s="425"/>
      <c r="G29" s="162"/>
      <c r="H29" s="163"/>
      <c r="I29" s="521" t="str">
        <f t="shared" si="4"/>
        <v/>
      </c>
      <c r="J29" s="522" t="str">
        <f t="shared" si="3"/>
        <v/>
      </c>
      <c r="K29" s="164"/>
      <c r="L29" s="164"/>
      <c r="M29" s="165"/>
      <c r="N29" s="164"/>
      <c r="O29" s="166">
        <v>0</v>
      </c>
      <c r="P29" s="167"/>
      <c r="Q29" s="168"/>
      <c r="R29" s="169"/>
      <c r="S29" s="170"/>
      <c r="T29" s="171" t="s">
        <v>293</v>
      </c>
      <c r="U29" s="172" t="s">
        <v>293</v>
      </c>
      <c r="V29" s="173" t="s">
        <v>293</v>
      </c>
      <c r="W29" s="258"/>
    </row>
    <row r="30" spans="2:23" ht="12.95" hidden="1" customHeight="1" outlineLevel="1">
      <c r="B30" s="802"/>
      <c r="C30" s="175"/>
      <c r="D30" s="160"/>
      <c r="E30" s="161"/>
      <c r="F30" s="425"/>
      <c r="G30" s="162"/>
      <c r="H30" s="163"/>
      <c r="I30" s="521" t="str">
        <f t="shared" si="4"/>
        <v/>
      </c>
      <c r="J30" s="522" t="str">
        <f t="shared" si="3"/>
        <v/>
      </c>
      <c r="K30" s="164"/>
      <c r="L30" s="164"/>
      <c r="M30" s="165"/>
      <c r="N30" s="164"/>
      <c r="O30" s="166">
        <v>0</v>
      </c>
      <c r="P30" s="167"/>
      <c r="Q30" s="168"/>
      <c r="R30" s="169"/>
      <c r="S30" s="170"/>
      <c r="T30" s="171" t="s">
        <v>293</v>
      </c>
      <c r="U30" s="172" t="s">
        <v>293</v>
      </c>
      <c r="V30" s="173" t="s">
        <v>293</v>
      </c>
      <c r="W30" s="258"/>
    </row>
    <row r="31" spans="2:23" ht="12.95" hidden="1" customHeight="1" outlineLevel="1">
      <c r="B31" s="802"/>
      <c r="C31" s="175"/>
      <c r="D31" s="160"/>
      <c r="E31" s="161"/>
      <c r="F31" s="425"/>
      <c r="G31" s="162"/>
      <c r="H31" s="163"/>
      <c r="I31" s="521" t="str">
        <f t="shared" si="4"/>
        <v/>
      </c>
      <c r="J31" s="522" t="str">
        <f t="shared" si="3"/>
        <v/>
      </c>
      <c r="K31" s="164"/>
      <c r="L31" s="164"/>
      <c r="M31" s="165"/>
      <c r="N31" s="164"/>
      <c r="O31" s="166">
        <v>0</v>
      </c>
      <c r="P31" s="167"/>
      <c r="Q31" s="168"/>
      <c r="R31" s="169"/>
      <c r="S31" s="170"/>
      <c r="T31" s="171" t="s">
        <v>293</v>
      </c>
      <c r="U31" s="172" t="s">
        <v>293</v>
      </c>
      <c r="V31" s="173" t="s">
        <v>293</v>
      </c>
      <c r="W31" s="258"/>
    </row>
    <row r="32" spans="2:23" ht="12.95" hidden="1" customHeight="1" outlineLevel="1">
      <c r="B32" s="802"/>
      <c r="C32" s="175"/>
      <c r="D32" s="160"/>
      <c r="E32" s="161"/>
      <c r="F32" s="425"/>
      <c r="G32" s="162"/>
      <c r="H32" s="163"/>
      <c r="I32" s="521" t="str">
        <f t="shared" si="4"/>
        <v/>
      </c>
      <c r="J32" s="522" t="str">
        <f t="shared" si="3"/>
        <v/>
      </c>
      <c r="K32" s="164"/>
      <c r="L32" s="164"/>
      <c r="M32" s="165"/>
      <c r="N32" s="164"/>
      <c r="O32" s="166">
        <v>0</v>
      </c>
      <c r="P32" s="167"/>
      <c r="Q32" s="168"/>
      <c r="R32" s="169"/>
      <c r="S32" s="170"/>
      <c r="T32" s="171" t="s">
        <v>293</v>
      </c>
      <c r="U32" s="172" t="s">
        <v>293</v>
      </c>
      <c r="V32" s="173" t="s">
        <v>293</v>
      </c>
      <c r="W32" s="258"/>
    </row>
    <row r="33" spans="2:23" ht="12.95" hidden="1" customHeight="1" outlineLevel="1">
      <c r="B33" s="802"/>
      <c r="C33" s="175"/>
      <c r="D33" s="160"/>
      <c r="E33" s="161"/>
      <c r="F33" s="425"/>
      <c r="G33" s="162"/>
      <c r="H33" s="163"/>
      <c r="I33" s="521" t="str">
        <f t="shared" si="4"/>
        <v/>
      </c>
      <c r="J33" s="522" t="str">
        <f t="shared" si="3"/>
        <v/>
      </c>
      <c r="K33" s="164"/>
      <c r="L33" s="164"/>
      <c r="M33" s="165"/>
      <c r="N33" s="164"/>
      <c r="O33" s="166">
        <v>0</v>
      </c>
      <c r="P33" s="167"/>
      <c r="Q33" s="168"/>
      <c r="R33" s="169"/>
      <c r="S33" s="170"/>
      <c r="T33" s="171" t="s">
        <v>293</v>
      </c>
      <c r="U33" s="172" t="s">
        <v>293</v>
      </c>
      <c r="V33" s="173" t="s">
        <v>293</v>
      </c>
      <c r="W33" s="234"/>
    </row>
    <row r="34" spans="2:23" ht="12.95" hidden="1" customHeight="1" outlineLevel="1">
      <c r="B34" s="802"/>
      <c r="C34" s="175"/>
      <c r="D34" s="160"/>
      <c r="E34" s="161"/>
      <c r="F34" s="425"/>
      <c r="G34" s="162"/>
      <c r="H34" s="163"/>
      <c r="I34" s="521" t="str">
        <f t="shared" si="4"/>
        <v/>
      </c>
      <c r="J34" s="522" t="str">
        <f t="shared" si="3"/>
        <v/>
      </c>
      <c r="K34" s="164"/>
      <c r="L34" s="164"/>
      <c r="M34" s="165"/>
      <c r="N34" s="164"/>
      <c r="O34" s="166">
        <v>0</v>
      </c>
      <c r="P34" s="167"/>
      <c r="Q34" s="168"/>
      <c r="R34" s="169"/>
      <c r="S34" s="170"/>
      <c r="T34" s="171" t="s">
        <v>293</v>
      </c>
      <c r="U34" s="172" t="s">
        <v>293</v>
      </c>
      <c r="V34" s="173" t="s">
        <v>293</v>
      </c>
      <c r="W34" s="234"/>
    </row>
    <row r="35" spans="2:23" ht="12.95" hidden="1" customHeight="1" outlineLevel="1">
      <c r="B35" s="802"/>
      <c r="C35" s="175"/>
      <c r="D35" s="160"/>
      <c r="E35" s="161"/>
      <c r="F35" s="425"/>
      <c r="G35" s="162"/>
      <c r="H35" s="163"/>
      <c r="I35" s="521" t="str">
        <f t="shared" si="4"/>
        <v/>
      </c>
      <c r="J35" s="522" t="str">
        <f t="shared" si="3"/>
        <v/>
      </c>
      <c r="K35" s="164"/>
      <c r="L35" s="164"/>
      <c r="M35" s="165"/>
      <c r="N35" s="164"/>
      <c r="O35" s="166">
        <v>0</v>
      </c>
      <c r="P35" s="167"/>
      <c r="Q35" s="168"/>
      <c r="R35" s="169"/>
      <c r="S35" s="170"/>
      <c r="T35" s="171" t="s">
        <v>293</v>
      </c>
      <c r="U35" s="172" t="s">
        <v>293</v>
      </c>
      <c r="V35" s="173" t="s">
        <v>293</v>
      </c>
      <c r="W35" s="234"/>
    </row>
    <row r="36" spans="2:23" ht="12.95" hidden="1" customHeight="1" outlineLevel="1">
      <c r="B36" s="802"/>
      <c r="C36" s="175"/>
      <c r="D36" s="160"/>
      <c r="E36" s="161"/>
      <c r="F36" s="425"/>
      <c r="G36" s="162"/>
      <c r="H36" s="163"/>
      <c r="I36" s="521" t="str">
        <f t="shared" si="4"/>
        <v/>
      </c>
      <c r="J36" s="522" t="str">
        <f t="shared" si="3"/>
        <v/>
      </c>
      <c r="K36" s="164"/>
      <c r="L36" s="164"/>
      <c r="M36" s="165"/>
      <c r="N36" s="164"/>
      <c r="O36" s="166"/>
      <c r="P36" s="167"/>
      <c r="Q36" s="168"/>
      <c r="R36" s="169"/>
      <c r="S36" s="170"/>
      <c r="T36" s="171"/>
      <c r="U36" s="172"/>
      <c r="V36" s="173"/>
      <c r="W36" s="234"/>
    </row>
    <row r="37" spans="2:23" ht="12.95" hidden="1" customHeight="1" outlineLevel="1">
      <c r="B37" s="802"/>
      <c r="C37" s="175"/>
      <c r="D37" s="160"/>
      <c r="E37" s="161"/>
      <c r="F37" s="425"/>
      <c r="G37" s="162"/>
      <c r="H37" s="163"/>
      <c r="I37" s="521" t="str">
        <f t="shared" si="4"/>
        <v/>
      </c>
      <c r="J37" s="522" t="str">
        <f t="shared" si="3"/>
        <v/>
      </c>
      <c r="K37" s="164"/>
      <c r="L37" s="164"/>
      <c r="M37" s="165"/>
      <c r="N37" s="164"/>
      <c r="O37" s="166"/>
      <c r="P37" s="167"/>
      <c r="Q37" s="168"/>
      <c r="R37" s="169"/>
      <c r="S37" s="170"/>
      <c r="T37" s="171"/>
      <c r="U37" s="172"/>
      <c r="V37" s="173"/>
      <c r="W37" s="234"/>
    </row>
    <row r="38" spans="2:23" ht="12.95" hidden="1" customHeight="1" outlineLevel="1">
      <c r="B38" s="802"/>
      <c r="C38" s="175"/>
      <c r="D38" s="160"/>
      <c r="E38" s="161"/>
      <c r="F38" s="425"/>
      <c r="G38" s="162"/>
      <c r="H38" s="163"/>
      <c r="I38" s="521" t="str">
        <f t="shared" si="4"/>
        <v/>
      </c>
      <c r="J38" s="522" t="str">
        <f t="shared" si="3"/>
        <v/>
      </c>
      <c r="K38" s="164"/>
      <c r="L38" s="164"/>
      <c r="M38" s="165"/>
      <c r="N38" s="164"/>
      <c r="O38" s="166"/>
      <c r="P38" s="167"/>
      <c r="Q38" s="168"/>
      <c r="R38" s="169"/>
      <c r="S38" s="170"/>
      <c r="T38" s="171"/>
      <c r="U38" s="172"/>
      <c r="V38" s="173"/>
      <c r="W38" s="234"/>
    </row>
    <row r="39" spans="2:23" ht="12.95" hidden="1" customHeight="1" outlineLevel="1">
      <c r="B39" s="802"/>
      <c r="C39" s="176"/>
      <c r="D39" s="177"/>
      <c r="E39" s="178"/>
      <c r="F39" s="422"/>
      <c r="G39" s="180"/>
      <c r="H39" s="181"/>
      <c r="I39" s="360" t="str">
        <f t="shared" si="4"/>
        <v/>
      </c>
      <c r="J39" s="519" t="str">
        <f t="shared" si="3"/>
        <v/>
      </c>
      <c r="K39" s="182"/>
      <c r="L39" s="182"/>
      <c r="M39" s="183"/>
      <c r="N39" s="182"/>
      <c r="O39" s="184"/>
      <c r="P39" s="185"/>
      <c r="Q39" s="186"/>
      <c r="R39" s="187"/>
      <c r="S39" s="188"/>
      <c r="T39" s="189"/>
      <c r="U39" s="190"/>
      <c r="V39" s="191"/>
      <c r="W39" s="234"/>
    </row>
    <row r="40" spans="2:23" ht="12.95" hidden="1" customHeight="1" outlineLevel="1">
      <c r="B40" s="802"/>
      <c r="C40" s="174"/>
      <c r="D40" s="177"/>
      <c r="E40" s="178"/>
      <c r="F40" s="422"/>
      <c r="G40" s="180"/>
      <c r="H40" s="181"/>
      <c r="I40" s="360" t="str">
        <f t="shared" si="4"/>
        <v/>
      </c>
      <c r="J40" s="519" t="str">
        <f t="shared" si="3"/>
        <v/>
      </c>
      <c r="K40" s="182"/>
      <c r="L40" s="182"/>
      <c r="M40" s="183"/>
      <c r="N40" s="182"/>
      <c r="O40" s="184"/>
      <c r="P40" s="185"/>
      <c r="Q40" s="186"/>
      <c r="R40" s="187"/>
      <c r="S40" s="188"/>
      <c r="T40" s="189"/>
      <c r="U40" s="190"/>
      <c r="V40" s="191"/>
      <c r="W40" s="234"/>
    </row>
    <row r="41" spans="2:23" ht="12.95" hidden="1" customHeight="1" outlineLevel="1">
      <c r="B41" s="802"/>
      <c r="C41" s="174"/>
      <c r="D41" s="177"/>
      <c r="E41" s="178"/>
      <c r="F41" s="422"/>
      <c r="G41" s="180"/>
      <c r="H41" s="181"/>
      <c r="I41" s="360" t="str">
        <f t="shared" si="4"/>
        <v/>
      </c>
      <c r="J41" s="519" t="str">
        <f t="shared" si="3"/>
        <v/>
      </c>
      <c r="K41" s="182"/>
      <c r="L41" s="182"/>
      <c r="M41" s="183"/>
      <c r="N41" s="182"/>
      <c r="O41" s="184"/>
      <c r="P41" s="185"/>
      <c r="Q41" s="186"/>
      <c r="R41" s="187"/>
      <c r="S41" s="188"/>
      <c r="T41" s="189"/>
      <c r="U41" s="190"/>
      <c r="V41" s="191"/>
      <c r="W41" s="258"/>
    </row>
    <row r="42" spans="2:23" ht="12.95" hidden="1" customHeight="1" outlineLevel="1">
      <c r="B42" s="802"/>
      <c r="C42" s="174"/>
      <c r="D42" s="177"/>
      <c r="E42" s="178"/>
      <c r="F42" s="422"/>
      <c r="G42" s="180"/>
      <c r="H42" s="181"/>
      <c r="I42" s="360" t="str">
        <f t="shared" si="4"/>
        <v/>
      </c>
      <c r="J42" s="519" t="str">
        <f t="shared" si="3"/>
        <v/>
      </c>
      <c r="K42" s="182"/>
      <c r="L42" s="182"/>
      <c r="M42" s="183"/>
      <c r="N42" s="182"/>
      <c r="O42" s="184"/>
      <c r="P42" s="185"/>
      <c r="Q42" s="186"/>
      <c r="R42" s="187"/>
      <c r="S42" s="188"/>
      <c r="T42" s="189"/>
      <c r="U42" s="190"/>
      <c r="V42" s="191"/>
      <c r="W42" s="258"/>
    </row>
    <row r="43" spans="2:23" ht="12.95" hidden="1" customHeight="1" outlineLevel="1">
      <c r="B43" s="802"/>
      <c r="C43" s="192"/>
      <c r="D43" s="177"/>
      <c r="E43" s="193"/>
      <c r="F43" s="422"/>
      <c r="G43" s="180"/>
      <c r="H43" s="181"/>
      <c r="I43" s="360" t="str">
        <f t="shared" si="4"/>
        <v/>
      </c>
      <c r="J43" s="519" t="str">
        <f t="shared" si="3"/>
        <v/>
      </c>
      <c r="K43" s="182"/>
      <c r="L43" s="182"/>
      <c r="M43" s="183"/>
      <c r="N43" s="182"/>
      <c r="O43" s="184"/>
      <c r="P43" s="185"/>
      <c r="Q43" s="186"/>
      <c r="R43" s="187"/>
      <c r="S43" s="188"/>
      <c r="T43" s="189"/>
      <c r="U43" s="190"/>
      <c r="V43" s="191"/>
      <c r="W43" s="258"/>
    </row>
    <row r="44" spans="2:23" ht="12.95" hidden="1" customHeight="1" outlineLevel="1">
      <c r="B44" s="802"/>
      <c r="C44" s="215"/>
      <c r="D44" s="179"/>
      <c r="E44" s="205"/>
      <c r="F44" s="426"/>
      <c r="G44" s="216"/>
      <c r="H44" s="217"/>
      <c r="I44" s="523" t="str">
        <f t="shared" si="4"/>
        <v/>
      </c>
      <c r="J44" s="524" t="str">
        <f t="shared" si="3"/>
        <v/>
      </c>
      <c r="K44" s="182"/>
      <c r="L44" s="182"/>
      <c r="M44" s="183"/>
      <c r="N44" s="182"/>
      <c r="O44" s="184"/>
      <c r="P44" s="185"/>
      <c r="Q44" s="186"/>
      <c r="R44" s="187"/>
      <c r="S44" s="188"/>
      <c r="T44" s="189"/>
      <c r="U44" s="190"/>
      <c r="V44" s="191"/>
      <c r="W44" s="259"/>
    </row>
    <row r="45" spans="2:23" ht="12.95" hidden="1" customHeight="1" outlineLevel="1">
      <c r="B45" s="802"/>
      <c r="C45" s="192"/>
      <c r="D45" s="177"/>
      <c r="E45" s="178"/>
      <c r="F45" s="422"/>
      <c r="G45" s="180"/>
      <c r="H45" s="181"/>
      <c r="I45" s="360" t="str">
        <f t="shared" si="4"/>
        <v/>
      </c>
      <c r="J45" s="519" t="str">
        <f t="shared" si="3"/>
        <v/>
      </c>
      <c r="K45" s="182"/>
      <c r="L45" s="182"/>
      <c r="M45" s="183"/>
      <c r="N45" s="182"/>
      <c r="O45" s="184"/>
      <c r="P45" s="185"/>
      <c r="Q45" s="186"/>
      <c r="R45" s="187"/>
      <c r="S45" s="188"/>
      <c r="T45" s="189"/>
      <c r="U45" s="190"/>
      <c r="V45" s="191"/>
      <c r="W45" s="258"/>
    </row>
    <row r="46" spans="2:23" ht="12.95" hidden="1" customHeight="1" outlineLevel="1">
      <c r="B46" s="802"/>
      <c r="C46" s="192"/>
      <c r="D46" s="177"/>
      <c r="E46" s="193"/>
      <c r="F46" s="422"/>
      <c r="G46" s="180"/>
      <c r="H46" s="181"/>
      <c r="I46" s="360" t="str">
        <f t="shared" si="4"/>
        <v/>
      </c>
      <c r="J46" s="519" t="str">
        <f t="shared" si="3"/>
        <v/>
      </c>
      <c r="K46" s="182"/>
      <c r="L46" s="182"/>
      <c r="M46" s="183"/>
      <c r="N46" s="182"/>
      <c r="O46" s="184"/>
      <c r="P46" s="185"/>
      <c r="Q46" s="186"/>
      <c r="R46" s="187"/>
      <c r="S46" s="188"/>
      <c r="T46" s="189"/>
      <c r="U46" s="190"/>
      <c r="V46" s="191"/>
      <c r="W46" s="234"/>
    </row>
    <row r="47" spans="2:23" ht="12.95" hidden="1" customHeight="1" outlineLevel="1">
      <c r="B47" s="802"/>
      <c r="C47" s="192"/>
      <c r="D47" s="177"/>
      <c r="E47" s="193"/>
      <c r="F47" s="422"/>
      <c r="G47" s="180"/>
      <c r="H47" s="181"/>
      <c r="I47" s="360" t="str">
        <f t="shared" si="4"/>
        <v/>
      </c>
      <c r="J47" s="519" t="str">
        <f t="shared" si="3"/>
        <v/>
      </c>
      <c r="K47" s="182"/>
      <c r="L47" s="182"/>
      <c r="M47" s="183"/>
      <c r="N47" s="182"/>
      <c r="O47" s="184"/>
      <c r="P47" s="185"/>
      <c r="Q47" s="186"/>
      <c r="R47" s="187"/>
      <c r="S47" s="188"/>
      <c r="T47" s="189"/>
      <c r="U47" s="190"/>
      <c r="V47" s="191"/>
      <c r="W47" s="234"/>
    </row>
    <row r="48" spans="2:23" ht="12.95" hidden="1" customHeight="1" outlineLevel="1">
      <c r="B48" s="802"/>
      <c r="C48" s="192"/>
      <c r="D48" s="177"/>
      <c r="E48" s="193"/>
      <c r="F48" s="422"/>
      <c r="G48" s="180"/>
      <c r="H48" s="181"/>
      <c r="I48" s="360" t="str">
        <f t="shared" si="4"/>
        <v/>
      </c>
      <c r="J48" s="519" t="str">
        <f t="shared" si="3"/>
        <v/>
      </c>
      <c r="K48" s="182"/>
      <c r="L48" s="182"/>
      <c r="M48" s="183"/>
      <c r="N48" s="182"/>
      <c r="O48" s="184"/>
      <c r="P48" s="185"/>
      <c r="Q48" s="186"/>
      <c r="R48" s="187"/>
      <c r="S48" s="188"/>
      <c r="T48" s="189"/>
      <c r="U48" s="190"/>
      <c r="V48" s="191"/>
      <c r="W48" s="234"/>
    </row>
    <row r="49" spans="2:23" ht="12.95" hidden="1" customHeight="1" outlineLevel="1">
      <c r="B49" s="802"/>
      <c r="C49" s="192"/>
      <c r="D49" s="177"/>
      <c r="E49" s="178"/>
      <c r="F49" s="422"/>
      <c r="G49" s="180"/>
      <c r="H49" s="181"/>
      <c r="I49" s="360" t="str">
        <f t="shared" si="4"/>
        <v/>
      </c>
      <c r="J49" s="519" t="str">
        <f t="shared" si="3"/>
        <v/>
      </c>
      <c r="K49" s="182"/>
      <c r="L49" s="182"/>
      <c r="M49" s="183"/>
      <c r="N49" s="182"/>
      <c r="O49" s="184"/>
      <c r="P49" s="185"/>
      <c r="Q49" s="186"/>
      <c r="R49" s="187"/>
      <c r="S49" s="188"/>
      <c r="T49" s="189"/>
      <c r="U49" s="190"/>
      <c r="V49" s="191"/>
      <c r="W49" s="258"/>
    </row>
    <row r="50" spans="2:23" ht="12.95" hidden="1" customHeight="1" outlineLevel="1">
      <c r="B50" s="802"/>
      <c r="C50" s="192"/>
      <c r="D50" s="177"/>
      <c r="E50" s="193"/>
      <c r="F50" s="422"/>
      <c r="G50" s="180"/>
      <c r="H50" s="181"/>
      <c r="I50" s="360" t="str">
        <f t="shared" si="4"/>
        <v/>
      </c>
      <c r="J50" s="519" t="str">
        <f t="shared" si="3"/>
        <v/>
      </c>
      <c r="K50" s="182"/>
      <c r="L50" s="182"/>
      <c r="M50" s="183"/>
      <c r="N50" s="182"/>
      <c r="O50" s="184"/>
      <c r="P50" s="185"/>
      <c r="Q50" s="186"/>
      <c r="R50" s="187"/>
      <c r="S50" s="188"/>
      <c r="T50" s="189"/>
      <c r="U50" s="190"/>
      <c r="V50" s="191"/>
      <c r="W50" s="258"/>
    </row>
    <row r="51" spans="2:23" ht="12.95" hidden="1" customHeight="1" outlineLevel="1">
      <c r="B51" s="802"/>
      <c r="C51" s="192"/>
      <c r="D51" s="177"/>
      <c r="E51" s="193"/>
      <c r="F51" s="422"/>
      <c r="G51" s="180"/>
      <c r="H51" s="181"/>
      <c r="I51" s="360" t="str">
        <f t="shared" si="4"/>
        <v/>
      </c>
      <c r="J51" s="519" t="str">
        <f t="shared" si="3"/>
        <v/>
      </c>
      <c r="K51" s="182"/>
      <c r="L51" s="182"/>
      <c r="M51" s="183"/>
      <c r="N51" s="182"/>
      <c r="O51" s="184"/>
      <c r="P51" s="185"/>
      <c r="Q51" s="186"/>
      <c r="R51" s="187"/>
      <c r="S51" s="188"/>
      <c r="T51" s="189"/>
      <c r="U51" s="190"/>
      <c r="V51" s="191"/>
      <c r="W51" s="258"/>
    </row>
    <row r="52" spans="2:23" ht="12.95" hidden="1" customHeight="1" outlineLevel="1">
      <c r="B52" s="802"/>
      <c r="C52" s="192"/>
      <c r="D52" s="177"/>
      <c r="E52" s="205"/>
      <c r="F52" s="426"/>
      <c r="G52" s="180"/>
      <c r="H52" s="181"/>
      <c r="I52" s="360" t="str">
        <f t="shared" si="4"/>
        <v/>
      </c>
      <c r="J52" s="519" t="str">
        <f t="shared" si="3"/>
        <v/>
      </c>
      <c r="K52" s="182"/>
      <c r="L52" s="182"/>
      <c r="M52" s="183"/>
      <c r="N52" s="182"/>
      <c r="O52" s="184"/>
      <c r="P52" s="185"/>
      <c r="Q52" s="186"/>
      <c r="R52" s="187"/>
      <c r="S52" s="188"/>
      <c r="T52" s="189"/>
      <c r="U52" s="190"/>
      <c r="V52" s="191"/>
      <c r="W52" s="258"/>
    </row>
    <row r="53" spans="2:23" ht="12.95" hidden="1" customHeight="1" outlineLevel="1">
      <c r="B53" s="802"/>
      <c r="C53" s="174"/>
      <c r="D53" s="177"/>
      <c r="E53" s="205"/>
      <c r="F53" s="422"/>
      <c r="G53" s="180"/>
      <c r="H53" s="181"/>
      <c r="I53" s="360" t="str">
        <f t="shared" si="4"/>
        <v/>
      </c>
      <c r="J53" s="519" t="str">
        <f t="shared" si="3"/>
        <v/>
      </c>
      <c r="K53" s="182"/>
      <c r="L53" s="182"/>
      <c r="M53" s="183"/>
      <c r="N53" s="182"/>
      <c r="O53" s="184"/>
      <c r="P53" s="185"/>
      <c r="Q53" s="186"/>
      <c r="R53" s="187"/>
      <c r="S53" s="188"/>
      <c r="T53" s="189"/>
      <c r="U53" s="190"/>
      <c r="V53" s="191"/>
      <c r="W53" s="258"/>
    </row>
    <row r="54" spans="2:23" ht="12.95" hidden="1" customHeight="1" outlineLevel="1">
      <c r="B54" s="802"/>
      <c r="C54" s="174"/>
      <c r="D54" s="177"/>
      <c r="E54" s="205"/>
      <c r="F54" s="422"/>
      <c r="G54" s="180"/>
      <c r="H54" s="181"/>
      <c r="I54" s="360" t="str">
        <f t="shared" si="4"/>
        <v/>
      </c>
      <c r="J54" s="519" t="str">
        <f t="shared" si="3"/>
        <v/>
      </c>
      <c r="K54" s="182"/>
      <c r="L54" s="182"/>
      <c r="M54" s="183"/>
      <c r="N54" s="182"/>
      <c r="O54" s="184"/>
      <c r="P54" s="185"/>
      <c r="Q54" s="186"/>
      <c r="R54" s="187"/>
      <c r="S54" s="188"/>
      <c r="T54" s="189"/>
      <c r="U54" s="190"/>
      <c r="V54" s="191"/>
      <c r="W54" s="258"/>
    </row>
    <row r="55" spans="2:23" ht="12.95" hidden="1" customHeight="1" outlineLevel="1">
      <c r="B55" s="802"/>
      <c r="C55" s="174"/>
      <c r="D55" s="177"/>
      <c r="E55" s="193"/>
      <c r="F55" s="422"/>
      <c r="G55" s="180"/>
      <c r="H55" s="181"/>
      <c r="I55" s="360" t="str">
        <f t="shared" si="4"/>
        <v/>
      </c>
      <c r="J55" s="519" t="str">
        <f t="shared" si="3"/>
        <v/>
      </c>
      <c r="K55" s="182"/>
      <c r="L55" s="182"/>
      <c r="M55" s="183"/>
      <c r="N55" s="182"/>
      <c r="O55" s="184"/>
      <c r="P55" s="185"/>
      <c r="Q55" s="186"/>
      <c r="R55" s="187"/>
      <c r="S55" s="188"/>
      <c r="T55" s="189"/>
      <c r="U55" s="190"/>
      <c r="V55" s="191"/>
      <c r="W55" s="258"/>
    </row>
    <row r="56" spans="2:23" ht="12.95" hidden="1" customHeight="1" outlineLevel="1">
      <c r="B56" s="802"/>
      <c r="C56" s="174"/>
      <c r="D56" s="177"/>
      <c r="E56" s="205"/>
      <c r="F56" s="422"/>
      <c r="G56" s="180"/>
      <c r="H56" s="181"/>
      <c r="I56" s="360" t="str">
        <f t="shared" si="4"/>
        <v/>
      </c>
      <c r="J56" s="519" t="str">
        <f t="shared" si="3"/>
        <v/>
      </c>
      <c r="K56" s="182"/>
      <c r="L56" s="182"/>
      <c r="M56" s="183"/>
      <c r="N56" s="182"/>
      <c r="O56" s="184"/>
      <c r="P56" s="185"/>
      <c r="Q56" s="186"/>
      <c r="R56" s="187"/>
      <c r="S56" s="188"/>
      <c r="T56" s="189"/>
      <c r="U56" s="190"/>
      <c r="V56" s="191"/>
      <c r="W56" s="258"/>
    </row>
    <row r="57" spans="2:23" ht="12.95" hidden="1" customHeight="1" outlineLevel="1">
      <c r="B57" s="802"/>
      <c r="C57" s="194"/>
      <c r="D57" s="177"/>
      <c r="E57" s="195"/>
      <c r="F57" s="422"/>
      <c r="G57" s="180"/>
      <c r="H57" s="181"/>
      <c r="I57" s="360" t="str">
        <f t="shared" si="4"/>
        <v/>
      </c>
      <c r="J57" s="519" t="str">
        <f t="shared" si="3"/>
        <v/>
      </c>
      <c r="K57" s="182"/>
      <c r="L57" s="182"/>
      <c r="M57" s="183"/>
      <c r="N57" s="182"/>
      <c r="O57" s="184"/>
      <c r="P57" s="185"/>
      <c r="Q57" s="186"/>
      <c r="R57" s="187"/>
      <c r="S57" s="188"/>
      <c r="T57" s="189"/>
      <c r="U57" s="190"/>
      <c r="V57" s="191"/>
      <c r="W57" s="258"/>
    </row>
    <row r="58" spans="2:23" ht="12.95" hidden="1" customHeight="1" outlineLevel="1">
      <c r="B58" s="802"/>
      <c r="C58" s="194"/>
      <c r="D58" s="177"/>
      <c r="E58" s="195"/>
      <c r="F58" s="426"/>
      <c r="G58" s="180"/>
      <c r="H58" s="181"/>
      <c r="I58" s="360" t="str">
        <f t="shared" si="4"/>
        <v/>
      </c>
      <c r="J58" s="519" t="str">
        <f t="shared" si="3"/>
        <v/>
      </c>
      <c r="K58" s="182"/>
      <c r="L58" s="182"/>
      <c r="M58" s="183"/>
      <c r="N58" s="182"/>
      <c r="O58" s="184"/>
      <c r="P58" s="185"/>
      <c r="Q58" s="186"/>
      <c r="R58" s="187"/>
      <c r="S58" s="188"/>
      <c r="T58" s="189"/>
      <c r="U58" s="190"/>
      <c r="V58" s="191"/>
      <c r="W58" s="258"/>
    </row>
    <row r="59" spans="2:23" ht="12.95" hidden="1" customHeight="1" outlineLevel="1">
      <c r="B59" s="802"/>
      <c r="C59" s="194"/>
      <c r="D59" s="177"/>
      <c r="E59" s="195"/>
      <c r="F59" s="422"/>
      <c r="G59" s="180"/>
      <c r="H59" s="181"/>
      <c r="I59" s="360" t="str">
        <f t="shared" si="4"/>
        <v/>
      </c>
      <c r="J59" s="519" t="str">
        <f t="shared" si="3"/>
        <v/>
      </c>
      <c r="K59" s="182"/>
      <c r="L59" s="182"/>
      <c r="M59" s="183"/>
      <c r="N59" s="182"/>
      <c r="O59" s="184">
        <f t="shared" ref="O59:O97" si="5">IF(K59*L59*N59=0,0,(L59*N59)/K59)</f>
        <v>0</v>
      </c>
      <c r="P59" s="185"/>
      <c r="Q59" s="186"/>
      <c r="R59" s="187"/>
      <c r="S59" s="188"/>
      <c r="T59" s="189" t="str">
        <f t="shared" ref="T59:V60" si="6">IF(Q59="","",Q59*$D59)</f>
        <v/>
      </c>
      <c r="U59" s="190" t="str">
        <f t="shared" si="6"/>
        <v/>
      </c>
      <c r="V59" s="191" t="str">
        <f t="shared" si="6"/>
        <v/>
      </c>
      <c r="W59" s="258"/>
    </row>
    <row r="60" spans="2:23" ht="12.95" hidden="1" customHeight="1" outlineLevel="1" thickBot="1">
      <c r="B60" s="802"/>
      <c r="C60" s="256"/>
      <c r="D60" s="236"/>
      <c r="E60" s="257"/>
      <c r="F60" s="423"/>
      <c r="G60" s="238"/>
      <c r="H60" s="239"/>
      <c r="I60" s="361" t="str">
        <f t="shared" si="4"/>
        <v/>
      </c>
      <c r="J60" s="520" t="str">
        <f t="shared" si="3"/>
        <v/>
      </c>
      <c r="K60" s="240"/>
      <c r="L60" s="240"/>
      <c r="M60" s="241"/>
      <c r="N60" s="240"/>
      <c r="O60" s="242">
        <f t="shared" si="5"/>
        <v>0</v>
      </c>
      <c r="P60" s="243"/>
      <c r="Q60" s="244"/>
      <c r="R60" s="245"/>
      <c r="S60" s="246"/>
      <c r="T60" s="247" t="str">
        <f t="shared" si="6"/>
        <v/>
      </c>
      <c r="U60" s="248" t="str">
        <f t="shared" si="6"/>
        <v/>
      </c>
      <c r="V60" s="249" t="str">
        <f t="shared" si="6"/>
        <v/>
      </c>
      <c r="W60" s="250"/>
    </row>
    <row r="61" spans="2:23" ht="12.95" customHeight="1" collapsed="1" thickBot="1">
      <c r="B61" s="803"/>
      <c r="C61" s="333" t="s">
        <v>294</v>
      </c>
      <c r="D61" s="235"/>
      <c r="E61" s="334"/>
      <c r="F61" s="424"/>
      <c r="G61" s="335"/>
      <c r="H61" s="336"/>
      <c r="I61" s="345"/>
      <c r="J61" s="517">
        <f>SUM(J21:J60)</f>
        <v>3478</v>
      </c>
      <c r="K61" s="337"/>
      <c r="L61" s="337"/>
      <c r="M61" s="338"/>
      <c r="N61" s="337"/>
      <c r="O61" s="339"/>
      <c r="P61" s="340"/>
      <c r="Q61" s="341"/>
      <c r="R61" s="342"/>
      <c r="S61" s="343"/>
      <c r="T61" s="344"/>
      <c r="U61" s="345"/>
      <c r="V61" s="346"/>
      <c r="W61" s="347"/>
    </row>
    <row r="62" spans="2:23" ht="12.95" customHeight="1">
      <c r="B62" s="801" t="s">
        <v>149</v>
      </c>
      <c r="C62" s="357" t="str">
        <f>科目設定!G2</f>
        <v>ガソリン</v>
      </c>
      <c r="D62" s="358">
        <f>SUMIF(③労働時間!$K$5:$K$353,$C62,③労働時間!$N$5:$N$353)</f>
        <v>1.2000000000000002</v>
      </c>
      <c r="E62" s="362" t="s">
        <v>205</v>
      </c>
      <c r="F62" s="421">
        <v>137</v>
      </c>
      <c r="G62" s="221">
        <v>1</v>
      </c>
      <c r="H62" s="222">
        <v>1</v>
      </c>
      <c r="I62" s="526">
        <f>IF(D62=0,"",D62*1/G62*H62)</f>
        <v>1.2000000000000002</v>
      </c>
      <c r="J62" s="518">
        <f>IF(D62=0,"",ROUND(F62*I62,0))</f>
        <v>164</v>
      </c>
      <c r="K62" s="223"/>
      <c r="L62" s="223"/>
      <c r="M62" s="224"/>
      <c r="N62" s="223"/>
      <c r="O62" s="225">
        <v>0</v>
      </c>
      <c r="P62" s="226"/>
      <c r="Q62" s="227"/>
      <c r="R62" s="228"/>
      <c r="S62" s="229"/>
      <c r="T62" s="230" t="s">
        <v>293</v>
      </c>
      <c r="U62" s="231" t="s">
        <v>293</v>
      </c>
      <c r="V62" s="232" t="s">
        <v>293</v>
      </c>
      <c r="W62" s="233" t="s">
        <v>579</v>
      </c>
    </row>
    <row r="63" spans="2:23" ht="12.95" customHeight="1">
      <c r="B63" s="802"/>
      <c r="C63" s="359" t="str">
        <f>科目設定!G3</f>
        <v>軽油</v>
      </c>
      <c r="D63" s="360">
        <f>SUMIF(③労働時間!$K$5:$K$353,$C63,③労働時間!$N$5:$N$353)</f>
        <v>19.991813625377102</v>
      </c>
      <c r="E63" s="363" t="s">
        <v>205</v>
      </c>
      <c r="F63" s="422">
        <v>93.8</v>
      </c>
      <c r="G63" s="180">
        <v>1</v>
      </c>
      <c r="H63" s="181">
        <v>1</v>
      </c>
      <c r="I63" s="527">
        <f t="shared" ref="I63:I69" si="7">IF(D63=0,"",D63*1/G63*H63)</f>
        <v>19.991813625377102</v>
      </c>
      <c r="J63" s="519">
        <f t="shared" ref="J63:J69" si="8">IF(D63=0,"",ROUND(F63*I63,0))</f>
        <v>1875</v>
      </c>
      <c r="K63" s="182"/>
      <c r="L63" s="182"/>
      <c r="M63" s="183"/>
      <c r="N63" s="182"/>
      <c r="O63" s="184">
        <v>0</v>
      </c>
      <c r="P63" s="185"/>
      <c r="Q63" s="186"/>
      <c r="R63" s="187"/>
      <c r="S63" s="188"/>
      <c r="T63" s="189" t="s">
        <v>293</v>
      </c>
      <c r="U63" s="190" t="s">
        <v>293</v>
      </c>
      <c r="V63" s="191" t="s">
        <v>293</v>
      </c>
      <c r="W63" s="258" t="s">
        <v>579</v>
      </c>
    </row>
    <row r="64" spans="2:23" ht="12.95" customHeight="1">
      <c r="B64" s="802"/>
      <c r="C64" s="359" t="str">
        <f>科目設定!G4</f>
        <v>Ａ重油</v>
      </c>
      <c r="D64" s="360">
        <f>SUMIF(③労働時間!$K$5:$K$353,$C64,③労働時間!$N$5:$N$353)</f>
        <v>0</v>
      </c>
      <c r="E64" s="363" t="s">
        <v>205</v>
      </c>
      <c r="F64" s="422">
        <v>75.900000000000006</v>
      </c>
      <c r="G64" s="180">
        <v>1</v>
      </c>
      <c r="H64" s="181">
        <v>1</v>
      </c>
      <c r="I64" s="527" t="str">
        <f t="shared" si="7"/>
        <v/>
      </c>
      <c r="J64" s="519" t="str">
        <f t="shared" si="8"/>
        <v/>
      </c>
      <c r="K64" s="182"/>
      <c r="L64" s="182"/>
      <c r="M64" s="183"/>
      <c r="N64" s="182"/>
      <c r="O64" s="184">
        <v>0</v>
      </c>
      <c r="P64" s="185"/>
      <c r="Q64" s="186"/>
      <c r="R64" s="187"/>
      <c r="S64" s="188"/>
      <c r="T64" s="189" t="s">
        <v>293</v>
      </c>
      <c r="U64" s="190" t="s">
        <v>293</v>
      </c>
      <c r="V64" s="191" t="s">
        <v>293</v>
      </c>
      <c r="W64" s="258" t="s">
        <v>579</v>
      </c>
    </row>
    <row r="65" spans="2:23" ht="12.95" customHeight="1">
      <c r="B65" s="802"/>
      <c r="C65" s="359" t="str">
        <f>科目設定!G5</f>
        <v>電気料</v>
      </c>
      <c r="D65" s="360">
        <f>SUMIF(③労働時間!$K$5:$K$353,$C65,③労働時間!$N$5:$N$353)</f>
        <v>0</v>
      </c>
      <c r="E65" s="363"/>
      <c r="F65" s="422"/>
      <c r="G65" s="180"/>
      <c r="H65" s="181"/>
      <c r="I65" s="527" t="str">
        <f t="shared" si="7"/>
        <v/>
      </c>
      <c r="J65" s="519" t="str">
        <f t="shared" si="8"/>
        <v/>
      </c>
      <c r="K65" s="182"/>
      <c r="L65" s="182"/>
      <c r="M65" s="183"/>
      <c r="N65" s="182"/>
      <c r="O65" s="184"/>
      <c r="P65" s="185"/>
      <c r="Q65" s="186"/>
      <c r="R65" s="187"/>
      <c r="S65" s="188"/>
      <c r="T65" s="189" t="s">
        <v>293</v>
      </c>
      <c r="U65" s="190" t="s">
        <v>293</v>
      </c>
      <c r="V65" s="191" t="s">
        <v>293</v>
      </c>
      <c r="W65" s="258"/>
    </row>
    <row r="66" spans="2:23" ht="12.95" customHeight="1">
      <c r="B66" s="802"/>
      <c r="C66" s="359" t="str">
        <f>科目設定!G6</f>
        <v>水道</v>
      </c>
      <c r="D66" s="360">
        <f>SUMIF(③労働時間!$K$5:$K$353,$C66,③労働時間!$N$5:$N$353)</f>
        <v>0</v>
      </c>
      <c r="E66" s="363"/>
      <c r="F66" s="422"/>
      <c r="G66" s="180"/>
      <c r="H66" s="181"/>
      <c r="I66" s="527" t="str">
        <f t="shared" si="7"/>
        <v/>
      </c>
      <c r="J66" s="519" t="str">
        <f t="shared" si="8"/>
        <v/>
      </c>
      <c r="K66" s="182"/>
      <c r="L66" s="182"/>
      <c r="M66" s="183"/>
      <c r="N66" s="182"/>
      <c r="O66" s="184">
        <f t="shared" si="5"/>
        <v>0</v>
      </c>
      <c r="P66" s="185"/>
      <c r="Q66" s="186"/>
      <c r="R66" s="187"/>
      <c r="S66" s="188"/>
      <c r="T66" s="189" t="str">
        <f t="shared" ref="T66:V69" si="9">IF(Q66="","",Q66*$D66)</f>
        <v/>
      </c>
      <c r="U66" s="190" t="str">
        <f t="shared" si="9"/>
        <v/>
      </c>
      <c r="V66" s="191" t="str">
        <f t="shared" si="9"/>
        <v/>
      </c>
      <c r="W66" s="258"/>
    </row>
    <row r="67" spans="2:23" ht="12.95" customHeight="1">
      <c r="B67" s="802"/>
      <c r="C67" s="359" t="str">
        <f>科目設定!G7</f>
        <v>灯油</v>
      </c>
      <c r="D67" s="360">
        <f>SUMIF(③労働時間!$K$5:$K$353,$C67,③労働時間!$N$5:$N$353)</f>
        <v>0</v>
      </c>
      <c r="E67" s="363" t="s">
        <v>205</v>
      </c>
      <c r="F67" s="422">
        <v>95</v>
      </c>
      <c r="G67" s="180"/>
      <c r="H67" s="181"/>
      <c r="I67" s="527" t="str">
        <f t="shared" si="7"/>
        <v/>
      </c>
      <c r="J67" s="519" t="str">
        <f t="shared" si="8"/>
        <v/>
      </c>
      <c r="K67" s="182"/>
      <c r="L67" s="182"/>
      <c r="M67" s="183"/>
      <c r="N67" s="182"/>
      <c r="O67" s="184">
        <f t="shared" si="5"/>
        <v>0</v>
      </c>
      <c r="P67" s="185"/>
      <c r="Q67" s="186"/>
      <c r="R67" s="187"/>
      <c r="S67" s="188"/>
      <c r="T67" s="189" t="str">
        <f t="shared" si="9"/>
        <v/>
      </c>
      <c r="U67" s="190" t="str">
        <f t="shared" si="9"/>
        <v/>
      </c>
      <c r="V67" s="191" t="str">
        <f t="shared" si="9"/>
        <v/>
      </c>
      <c r="W67" s="258" t="s">
        <v>579</v>
      </c>
    </row>
    <row r="68" spans="2:23" ht="12.95" customHeight="1">
      <c r="B68" s="802"/>
      <c r="C68" s="359" t="str">
        <f>科目設定!G9</f>
        <v>オイル(自動計算)</v>
      </c>
      <c r="D68" s="643">
        <v>1</v>
      </c>
      <c r="E68" s="644" t="s">
        <v>554</v>
      </c>
      <c r="F68" s="657"/>
      <c r="G68" s="658">
        <v>1</v>
      </c>
      <c r="H68" s="659">
        <v>1</v>
      </c>
      <c r="I68" s="645"/>
      <c r="J68" s="519">
        <f>IF(D68=0,"",ROUND((J62+J63)*0.3,0))</f>
        <v>612</v>
      </c>
      <c r="K68" s="646"/>
      <c r="L68" s="646"/>
      <c r="M68" s="647"/>
      <c r="N68" s="646"/>
      <c r="O68" s="648"/>
      <c r="P68" s="649"/>
      <c r="Q68" s="650"/>
      <c r="R68" s="651"/>
      <c r="S68" s="652"/>
      <c r="T68" s="653"/>
      <c r="U68" s="654"/>
      <c r="V68" s="655"/>
      <c r="W68" s="656"/>
    </row>
    <row r="69" spans="2:23" ht="12.95" customHeight="1" thickBot="1">
      <c r="B69" s="802"/>
      <c r="C69" s="603" t="str">
        <f>科目設定!G10</f>
        <v>その他燃料</v>
      </c>
      <c r="D69" s="604"/>
      <c r="E69" s="605"/>
      <c r="F69" s="423"/>
      <c r="G69" s="238"/>
      <c r="H69" s="239"/>
      <c r="I69" s="528" t="str">
        <f t="shared" si="7"/>
        <v/>
      </c>
      <c r="J69" s="520" t="str">
        <f t="shared" si="8"/>
        <v/>
      </c>
      <c r="K69" s="240"/>
      <c r="L69" s="240"/>
      <c r="M69" s="241"/>
      <c r="N69" s="240"/>
      <c r="O69" s="242">
        <f t="shared" si="5"/>
        <v>0</v>
      </c>
      <c r="P69" s="243"/>
      <c r="Q69" s="244"/>
      <c r="R69" s="245"/>
      <c r="S69" s="246"/>
      <c r="T69" s="247" t="str">
        <f t="shared" si="9"/>
        <v/>
      </c>
      <c r="U69" s="248" t="str">
        <f t="shared" si="9"/>
        <v/>
      </c>
      <c r="V69" s="249" t="str">
        <f t="shared" si="9"/>
        <v/>
      </c>
      <c r="W69" s="250"/>
    </row>
    <row r="70" spans="2:23" ht="12.95" customHeight="1" thickTop="1" thickBot="1">
      <c r="B70" s="803"/>
      <c r="C70" s="333" t="s">
        <v>294</v>
      </c>
      <c r="D70" s="235"/>
      <c r="E70" s="334"/>
      <c r="F70" s="424"/>
      <c r="G70" s="335"/>
      <c r="H70" s="336"/>
      <c r="I70" s="345"/>
      <c r="J70" s="517">
        <f>SUM(J62:J69)</f>
        <v>2651</v>
      </c>
      <c r="K70" s="337"/>
      <c r="L70" s="337"/>
      <c r="M70" s="338"/>
      <c r="N70" s="337"/>
      <c r="O70" s="339"/>
      <c r="P70" s="340"/>
      <c r="Q70" s="341"/>
      <c r="R70" s="342"/>
      <c r="S70" s="343"/>
      <c r="T70" s="344"/>
      <c r="U70" s="345"/>
      <c r="V70" s="346"/>
      <c r="W70" s="347"/>
    </row>
    <row r="71" spans="2:23" ht="12.95" customHeight="1">
      <c r="B71" s="801" t="s">
        <v>115</v>
      </c>
      <c r="C71" s="260"/>
      <c r="D71" s="219"/>
      <c r="E71" s="261"/>
      <c r="F71" s="421"/>
      <c r="G71" s="221"/>
      <c r="H71" s="222"/>
      <c r="I71" s="358" t="str">
        <f t="shared" ref="I71:I107" si="10">IF(C71=0,"",D71*1/G71*H71)</f>
        <v/>
      </c>
      <c r="J71" s="518" t="str">
        <f t="shared" si="3"/>
        <v/>
      </c>
      <c r="K71" s="223"/>
      <c r="L71" s="223"/>
      <c r="M71" s="224"/>
      <c r="N71" s="223"/>
      <c r="O71" s="225">
        <v>0</v>
      </c>
      <c r="P71" s="226"/>
      <c r="Q71" s="227"/>
      <c r="R71" s="228"/>
      <c r="S71" s="229"/>
      <c r="T71" s="230" t="s">
        <v>293</v>
      </c>
      <c r="U71" s="231" t="s">
        <v>293</v>
      </c>
      <c r="V71" s="232" t="s">
        <v>293</v>
      </c>
      <c r="W71" s="233"/>
    </row>
    <row r="72" spans="2:23" ht="12.95" customHeight="1">
      <c r="B72" s="802"/>
      <c r="C72" s="196"/>
      <c r="D72" s="177"/>
      <c r="E72" s="195"/>
      <c r="F72" s="422"/>
      <c r="G72" s="180"/>
      <c r="H72" s="181"/>
      <c r="I72" s="360" t="str">
        <f t="shared" si="10"/>
        <v/>
      </c>
      <c r="J72" s="519" t="str">
        <f t="shared" si="3"/>
        <v/>
      </c>
      <c r="K72" s="182"/>
      <c r="L72" s="182"/>
      <c r="M72" s="183"/>
      <c r="N72" s="182"/>
      <c r="O72" s="184">
        <v>0</v>
      </c>
      <c r="P72" s="185"/>
      <c r="Q72" s="186"/>
      <c r="R72" s="187"/>
      <c r="S72" s="188"/>
      <c r="T72" s="189" t="s">
        <v>293</v>
      </c>
      <c r="U72" s="190" t="s">
        <v>293</v>
      </c>
      <c r="V72" s="191" t="s">
        <v>293</v>
      </c>
      <c r="W72" s="258"/>
    </row>
    <row r="73" spans="2:23" ht="12.95" customHeight="1">
      <c r="B73" s="802"/>
      <c r="C73" s="196"/>
      <c r="D73" s="177"/>
      <c r="E73" s="195"/>
      <c r="F73" s="422"/>
      <c r="G73" s="180"/>
      <c r="H73" s="181"/>
      <c r="I73" s="360" t="str">
        <f t="shared" si="10"/>
        <v/>
      </c>
      <c r="J73" s="519" t="str">
        <f t="shared" si="3"/>
        <v/>
      </c>
      <c r="K73" s="182"/>
      <c r="L73" s="182"/>
      <c r="M73" s="183"/>
      <c r="N73" s="182"/>
      <c r="O73" s="184">
        <v>0</v>
      </c>
      <c r="P73" s="185"/>
      <c r="Q73" s="186"/>
      <c r="R73" s="187"/>
      <c r="S73" s="188"/>
      <c r="T73" s="189" t="s">
        <v>293</v>
      </c>
      <c r="U73" s="190" t="s">
        <v>293</v>
      </c>
      <c r="V73" s="191" t="s">
        <v>293</v>
      </c>
      <c r="W73" s="263"/>
    </row>
    <row r="74" spans="2:23" ht="12.95" customHeight="1">
      <c r="B74" s="802"/>
      <c r="C74" s="196"/>
      <c r="D74" s="177"/>
      <c r="E74" s="195"/>
      <c r="F74" s="422"/>
      <c r="G74" s="180"/>
      <c r="H74" s="181"/>
      <c r="I74" s="360" t="str">
        <f t="shared" si="10"/>
        <v/>
      </c>
      <c r="J74" s="519" t="str">
        <f t="shared" ref="J74:J107" si="11">IF(C74=0,"",ROUND(F74*I74,0))</f>
        <v/>
      </c>
      <c r="K74" s="182"/>
      <c r="L74" s="182"/>
      <c r="M74" s="183"/>
      <c r="N74" s="182"/>
      <c r="O74" s="184">
        <v>0</v>
      </c>
      <c r="P74" s="185"/>
      <c r="Q74" s="186"/>
      <c r="R74" s="187"/>
      <c r="S74" s="188"/>
      <c r="T74" s="189" t="s">
        <v>293</v>
      </c>
      <c r="U74" s="190" t="s">
        <v>293</v>
      </c>
      <c r="V74" s="191" t="s">
        <v>293</v>
      </c>
      <c r="W74" s="263"/>
    </row>
    <row r="75" spans="2:23" ht="12.95" customHeight="1">
      <c r="B75" s="802"/>
      <c r="C75" s="196"/>
      <c r="D75" s="177"/>
      <c r="E75" s="195"/>
      <c r="F75" s="422"/>
      <c r="G75" s="180"/>
      <c r="H75" s="181"/>
      <c r="I75" s="360" t="str">
        <f t="shared" si="10"/>
        <v/>
      </c>
      <c r="J75" s="519" t="str">
        <f t="shared" si="11"/>
        <v/>
      </c>
      <c r="K75" s="182"/>
      <c r="L75" s="182"/>
      <c r="M75" s="183"/>
      <c r="N75" s="182"/>
      <c r="O75" s="184">
        <v>0</v>
      </c>
      <c r="P75" s="185"/>
      <c r="Q75" s="186"/>
      <c r="R75" s="187"/>
      <c r="S75" s="188"/>
      <c r="T75" s="189" t="s">
        <v>293</v>
      </c>
      <c r="U75" s="190" t="s">
        <v>293</v>
      </c>
      <c r="V75" s="191" t="s">
        <v>293</v>
      </c>
      <c r="W75" s="263"/>
    </row>
    <row r="76" spans="2:23" ht="12.95" hidden="1" customHeight="1" outlineLevel="1">
      <c r="B76" s="802"/>
      <c r="C76" s="196"/>
      <c r="D76" s="177"/>
      <c r="E76" s="195"/>
      <c r="F76" s="422"/>
      <c r="G76" s="180"/>
      <c r="H76" s="181"/>
      <c r="I76" s="360" t="str">
        <f t="shared" si="10"/>
        <v/>
      </c>
      <c r="J76" s="519" t="str">
        <f t="shared" si="11"/>
        <v/>
      </c>
      <c r="K76" s="182"/>
      <c r="L76" s="182"/>
      <c r="M76" s="183"/>
      <c r="N76" s="182"/>
      <c r="O76" s="184">
        <v>0</v>
      </c>
      <c r="P76" s="185"/>
      <c r="Q76" s="186"/>
      <c r="R76" s="187"/>
      <c r="S76" s="188"/>
      <c r="T76" s="189" t="s">
        <v>293</v>
      </c>
      <c r="U76" s="190" t="s">
        <v>293</v>
      </c>
      <c r="V76" s="191" t="s">
        <v>293</v>
      </c>
      <c r="W76" s="263"/>
    </row>
    <row r="77" spans="2:23" ht="12.95" hidden="1" customHeight="1" outlineLevel="1">
      <c r="B77" s="802"/>
      <c r="C77" s="196"/>
      <c r="D77" s="177"/>
      <c r="E77" s="195"/>
      <c r="F77" s="422"/>
      <c r="G77" s="180"/>
      <c r="H77" s="181"/>
      <c r="I77" s="360" t="str">
        <f t="shared" si="10"/>
        <v/>
      </c>
      <c r="J77" s="519" t="str">
        <f t="shared" si="11"/>
        <v/>
      </c>
      <c r="K77" s="182"/>
      <c r="L77" s="182"/>
      <c r="M77" s="183"/>
      <c r="N77" s="182"/>
      <c r="O77" s="184">
        <v>0</v>
      </c>
      <c r="P77" s="185"/>
      <c r="Q77" s="186"/>
      <c r="R77" s="187"/>
      <c r="S77" s="188"/>
      <c r="T77" s="189" t="s">
        <v>293</v>
      </c>
      <c r="U77" s="190" t="s">
        <v>293</v>
      </c>
      <c r="V77" s="191" t="s">
        <v>293</v>
      </c>
      <c r="W77" s="263"/>
    </row>
    <row r="78" spans="2:23" ht="12.95" hidden="1" customHeight="1" outlineLevel="1">
      <c r="B78" s="802"/>
      <c r="C78" s="196"/>
      <c r="D78" s="177"/>
      <c r="E78" s="195"/>
      <c r="F78" s="422"/>
      <c r="G78" s="180"/>
      <c r="H78" s="181"/>
      <c r="I78" s="360" t="str">
        <f t="shared" si="10"/>
        <v/>
      </c>
      <c r="J78" s="519" t="str">
        <f t="shared" si="11"/>
        <v/>
      </c>
      <c r="K78" s="182"/>
      <c r="L78" s="182"/>
      <c r="M78" s="183"/>
      <c r="N78" s="182"/>
      <c r="O78" s="184">
        <v>0</v>
      </c>
      <c r="P78" s="185"/>
      <c r="Q78" s="186"/>
      <c r="R78" s="187"/>
      <c r="S78" s="188"/>
      <c r="T78" s="189" t="s">
        <v>293</v>
      </c>
      <c r="U78" s="190" t="s">
        <v>293</v>
      </c>
      <c r="V78" s="191" t="s">
        <v>293</v>
      </c>
      <c r="W78" s="263"/>
    </row>
    <row r="79" spans="2:23" ht="12.95" hidden="1" customHeight="1" outlineLevel="1">
      <c r="B79" s="802"/>
      <c r="C79" s="196"/>
      <c r="D79" s="177"/>
      <c r="E79" s="195"/>
      <c r="F79" s="422"/>
      <c r="G79" s="180"/>
      <c r="H79" s="181"/>
      <c r="I79" s="360" t="str">
        <f t="shared" si="10"/>
        <v/>
      </c>
      <c r="J79" s="519" t="str">
        <f t="shared" si="11"/>
        <v/>
      </c>
      <c r="K79" s="182"/>
      <c r="L79" s="182"/>
      <c r="M79" s="183"/>
      <c r="N79" s="182"/>
      <c r="O79" s="184">
        <v>0</v>
      </c>
      <c r="P79" s="185"/>
      <c r="Q79" s="186"/>
      <c r="R79" s="187"/>
      <c r="S79" s="188"/>
      <c r="T79" s="189" t="s">
        <v>293</v>
      </c>
      <c r="U79" s="190" t="s">
        <v>293</v>
      </c>
      <c r="V79" s="191" t="s">
        <v>293</v>
      </c>
      <c r="W79" s="263"/>
    </row>
    <row r="80" spans="2:23" ht="12.95" hidden="1" customHeight="1" outlineLevel="1">
      <c r="B80" s="802"/>
      <c r="C80" s="196"/>
      <c r="D80" s="177"/>
      <c r="E80" s="195"/>
      <c r="F80" s="422"/>
      <c r="G80" s="180"/>
      <c r="H80" s="181"/>
      <c r="I80" s="360" t="str">
        <f t="shared" si="10"/>
        <v/>
      </c>
      <c r="J80" s="519" t="str">
        <f t="shared" si="11"/>
        <v/>
      </c>
      <c r="K80" s="182"/>
      <c r="L80" s="182"/>
      <c r="M80" s="183"/>
      <c r="N80" s="182"/>
      <c r="O80" s="184">
        <v>0</v>
      </c>
      <c r="P80" s="185"/>
      <c r="Q80" s="186"/>
      <c r="R80" s="187"/>
      <c r="S80" s="188"/>
      <c r="T80" s="189" t="s">
        <v>293</v>
      </c>
      <c r="U80" s="190" t="s">
        <v>293</v>
      </c>
      <c r="V80" s="191" t="s">
        <v>293</v>
      </c>
      <c r="W80" s="263"/>
    </row>
    <row r="81" spans="2:23" ht="12.95" hidden="1" customHeight="1" outlineLevel="1">
      <c r="B81" s="802"/>
      <c r="C81" s="196"/>
      <c r="D81" s="177"/>
      <c r="E81" s="195"/>
      <c r="F81" s="422"/>
      <c r="G81" s="180"/>
      <c r="H81" s="181"/>
      <c r="I81" s="360" t="str">
        <f t="shared" si="10"/>
        <v/>
      </c>
      <c r="J81" s="519" t="str">
        <f t="shared" si="11"/>
        <v/>
      </c>
      <c r="K81" s="182"/>
      <c r="L81" s="182"/>
      <c r="M81" s="183"/>
      <c r="N81" s="182"/>
      <c r="O81" s="184">
        <v>0</v>
      </c>
      <c r="P81" s="185"/>
      <c r="Q81" s="186"/>
      <c r="R81" s="187"/>
      <c r="S81" s="188"/>
      <c r="T81" s="189" t="s">
        <v>293</v>
      </c>
      <c r="U81" s="190" t="s">
        <v>293</v>
      </c>
      <c r="V81" s="191" t="s">
        <v>293</v>
      </c>
      <c r="W81" s="263"/>
    </row>
    <row r="82" spans="2:23" ht="12.95" hidden="1" customHeight="1" outlineLevel="1">
      <c r="B82" s="802"/>
      <c r="C82" s="196"/>
      <c r="D82" s="177"/>
      <c r="E82" s="195"/>
      <c r="F82" s="422"/>
      <c r="G82" s="180"/>
      <c r="H82" s="181"/>
      <c r="I82" s="360" t="str">
        <f t="shared" si="10"/>
        <v/>
      </c>
      <c r="J82" s="519" t="str">
        <f t="shared" si="11"/>
        <v/>
      </c>
      <c r="K82" s="182"/>
      <c r="L82" s="182"/>
      <c r="M82" s="183"/>
      <c r="N82" s="182"/>
      <c r="O82" s="184">
        <v>0</v>
      </c>
      <c r="P82" s="185"/>
      <c r="Q82" s="186"/>
      <c r="R82" s="187"/>
      <c r="S82" s="188"/>
      <c r="T82" s="189" t="s">
        <v>293</v>
      </c>
      <c r="U82" s="190" t="s">
        <v>293</v>
      </c>
      <c r="V82" s="191" t="s">
        <v>293</v>
      </c>
      <c r="W82" s="263"/>
    </row>
    <row r="83" spans="2:23" ht="12.95" hidden="1" customHeight="1" outlineLevel="1">
      <c r="B83" s="802"/>
      <c r="C83" s="196"/>
      <c r="D83" s="177"/>
      <c r="E83" s="195"/>
      <c r="F83" s="422"/>
      <c r="G83" s="180"/>
      <c r="H83" s="181"/>
      <c r="I83" s="360" t="str">
        <f t="shared" si="10"/>
        <v/>
      </c>
      <c r="J83" s="519" t="str">
        <f t="shared" si="11"/>
        <v/>
      </c>
      <c r="K83" s="182"/>
      <c r="L83" s="182"/>
      <c r="M83" s="183"/>
      <c r="N83" s="182"/>
      <c r="O83" s="184">
        <v>0</v>
      </c>
      <c r="P83" s="185"/>
      <c r="Q83" s="186"/>
      <c r="R83" s="187"/>
      <c r="S83" s="188"/>
      <c r="T83" s="189" t="s">
        <v>293</v>
      </c>
      <c r="U83" s="190" t="s">
        <v>293</v>
      </c>
      <c r="V83" s="191" t="s">
        <v>293</v>
      </c>
      <c r="W83" s="263"/>
    </row>
    <row r="84" spans="2:23" ht="12.95" hidden="1" customHeight="1" outlineLevel="1">
      <c r="B84" s="802"/>
      <c r="C84" s="196"/>
      <c r="D84" s="177"/>
      <c r="E84" s="195"/>
      <c r="F84" s="422"/>
      <c r="G84" s="180"/>
      <c r="H84" s="181"/>
      <c r="I84" s="360" t="str">
        <f t="shared" si="10"/>
        <v/>
      </c>
      <c r="J84" s="519" t="str">
        <f t="shared" si="11"/>
        <v/>
      </c>
      <c r="K84" s="182"/>
      <c r="L84" s="182"/>
      <c r="M84" s="183"/>
      <c r="N84" s="182"/>
      <c r="O84" s="184">
        <v>0</v>
      </c>
      <c r="P84" s="185"/>
      <c r="Q84" s="186"/>
      <c r="R84" s="187"/>
      <c r="S84" s="188"/>
      <c r="T84" s="189" t="s">
        <v>293</v>
      </c>
      <c r="U84" s="190" t="s">
        <v>293</v>
      </c>
      <c r="V84" s="191" t="s">
        <v>293</v>
      </c>
      <c r="W84" s="263"/>
    </row>
    <row r="85" spans="2:23" ht="12.95" hidden="1" customHeight="1" outlineLevel="1">
      <c r="B85" s="802"/>
      <c r="C85" s="196"/>
      <c r="D85" s="177"/>
      <c r="E85" s="195"/>
      <c r="F85" s="422"/>
      <c r="G85" s="180"/>
      <c r="H85" s="181"/>
      <c r="I85" s="360" t="str">
        <f t="shared" si="10"/>
        <v/>
      </c>
      <c r="J85" s="519" t="str">
        <f t="shared" si="11"/>
        <v/>
      </c>
      <c r="K85" s="182"/>
      <c r="L85" s="182"/>
      <c r="M85" s="183"/>
      <c r="N85" s="182"/>
      <c r="O85" s="184">
        <v>0</v>
      </c>
      <c r="P85" s="185"/>
      <c r="Q85" s="186"/>
      <c r="R85" s="187"/>
      <c r="S85" s="188"/>
      <c r="T85" s="189" t="s">
        <v>293</v>
      </c>
      <c r="U85" s="190" t="s">
        <v>293</v>
      </c>
      <c r="V85" s="191" t="s">
        <v>293</v>
      </c>
      <c r="W85" s="263"/>
    </row>
    <row r="86" spans="2:23" ht="12.95" hidden="1" customHeight="1" outlineLevel="1">
      <c r="B86" s="802"/>
      <c r="C86" s="196"/>
      <c r="D86" s="177"/>
      <c r="E86" s="195"/>
      <c r="F86" s="422"/>
      <c r="G86" s="180"/>
      <c r="H86" s="181"/>
      <c r="I86" s="360" t="str">
        <f t="shared" si="10"/>
        <v/>
      </c>
      <c r="J86" s="519" t="str">
        <f t="shared" si="11"/>
        <v/>
      </c>
      <c r="K86" s="182"/>
      <c r="L86" s="182"/>
      <c r="M86" s="183"/>
      <c r="N86" s="182"/>
      <c r="O86" s="184">
        <v>0</v>
      </c>
      <c r="P86" s="185"/>
      <c r="Q86" s="186"/>
      <c r="R86" s="187"/>
      <c r="S86" s="188"/>
      <c r="T86" s="189" t="s">
        <v>293</v>
      </c>
      <c r="U86" s="190" t="s">
        <v>293</v>
      </c>
      <c r="V86" s="191" t="s">
        <v>293</v>
      </c>
      <c r="W86" s="263"/>
    </row>
    <row r="87" spans="2:23" ht="12.95" hidden="1" customHeight="1" outlineLevel="1">
      <c r="B87" s="802"/>
      <c r="C87" s="196"/>
      <c r="D87" s="177"/>
      <c r="E87" s="195"/>
      <c r="F87" s="422"/>
      <c r="G87" s="180"/>
      <c r="H87" s="181"/>
      <c r="I87" s="360" t="str">
        <f t="shared" si="10"/>
        <v/>
      </c>
      <c r="J87" s="519" t="str">
        <f t="shared" si="11"/>
        <v/>
      </c>
      <c r="K87" s="182"/>
      <c r="L87" s="182"/>
      <c r="M87" s="183"/>
      <c r="N87" s="182"/>
      <c r="O87" s="184">
        <v>0</v>
      </c>
      <c r="P87" s="185"/>
      <c r="Q87" s="186"/>
      <c r="R87" s="187"/>
      <c r="S87" s="188"/>
      <c r="T87" s="189" t="s">
        <v>293</v>
      </c>
      <c r="U87" s="190" t="s">
        <v>293</v>
      </c>
      <c r="V87" s="191" t="s">
        <v>293</v>
      </c>
      <c r="W87" s="263"/>
    </row>
    <row r="88" spans="2:23" ht="12.95" hidden="1" customHeight="1" outlineLevel="1">
      <c r="B88" s="802"/>
      <c r="C88" s="196"/>
      <c r="D88" s="177"/>
      <c r="E88" s="195"/>
      <c r="F88" s="422"/>
      <c r="G88" s="180"/>
      <c r="H88" s="181"/>
      <c r="I88" s="360" t="str">
        <f t="shared" si="10"/>
        <v/>
      </c>
      <c r="J88" s="519" t="str">
        <f t="shared" si="11"/>
        <v/>
      </c>
      <c r="K88" s="182"/>
      <c r="L88" s="182"/>
      <c r="M88" s="183"/>
      <c r="N88" s="182"/>
      <c r="O88" s="184">
        <v>0</v>
      </c>
      <c r="P88" s="185"/>
      <c r="Q88" s="186"/>
      <c r="R88" s="187"/>
      <c r="S88" s="188"/>
      <c r="T88" s="189" t="s">
        <v>293</v>
      </c>
      <c r="U88" s="190" t="s">
        <v>293</v>
      </c>
      <c r="V88" s="191" t="s">
        <v>293</v>
      </c>
      <c r="W88" s="263"/>
    </row>
    <row r="89" spans="2:23" ht="12.95" hidden="1" customHeight="1" outlineLevel="1">
      <c r="B89" s="802"/>
      <c r="C89" s="196"/>
      <c r="D89" s="177"/>
      <c r="E89" s="195"/>
      <c r="F89" s="422"/>
      <c r="G89" s="180"/>
      <c r="H89" s="181"/>
      <c r="I89" s="360" t="str">
        <f t="shared" si="10"/>
        <v/>
      </c>
      <c r="J89" s="519" t="str">
        <f t="shared" si="11"/>
        <v/>
      </c>
      <c r="K89" s="182"/>
      <c r="L89" s="182"/>
      <c r="M89" s="183"/>
      <c r="N89" s="182"/>
      <c r="O89" s="184">
        <f t="shared" si="5"/>
        <v>0</v>
      </c>
      <c r="P89" s="185"/>
      <c r="Q89" s="186"/>
      <c r="R89" s="187"/>
      <c r="S89" s="188"/>
      <c r="T89" s="189" t="str">
        <f t="shared" ref="T89:T107" si="12">IF(Q89="","",Q89*$D89)</f>
        <v/>
      </c>
      <c r="U89" s="190" t="str">
        <f t="shared" ref="U89:U107" si="13">IF(R89="","",R89*$D89)</f>
        <v/>
      </c>
      <c r="V89" s="191" t="str">
        <f t="shared" ref="V89:V107" si="14">IF(S89="","",S89*$D89)</f>
        <v/>
      </c>
      <c r="W89" s="263"/>
    </row>
    <row r="90" spans="2:23" ht="12.95" hidden="1" customHeight="1" outlineLevel="1">
      <c r="B90" s="802"/>
      <c r="C90" s="196"/>
      <c r="D90" s="177"/>
      <c r="E90" s="195"/>
      <c r="F90" s="422"/>
      <c r="G90" s="180"/>
      <c r="H90" s="181"/>
      <c r="I90" s="360" t="str">
        <f t="shared" si="10"/>
        <v/>
      </c>
      <c r="J90" s="519" t="str">
        <f t="shared" si="11"/>
        <v/>
      </c>
      <c r="K90" s="182"/>
      <c r="L90" s="182"/>
      <c r="M90" s="183"/>
      <c r="N90" s="182"/>
      <c r="O90" s="184">
        <f t="shared" si="5"/>
        <v>0</v>
      </c>
      <c r="P90" s="185"/>
      <c r="Q90" s="186"/>
      <c r="R90" s="187"/>
      <c r="S90" s="188"/>
      <c r="T90" s="189" t="str">
        <f t="shared" si="12"/>
        <v/>
      </c>
      <c r="U90" s="190" t="str">
        <f t="shared" si="13"/>
        <v/>
      </c>
      <c r="V90" s="191" t="str">
        <f t="shared" si="14"/>
        <v/>
      </c>
      <c r="W90" s="263"/>
    </row>
    <row r="91" spans="2:23" ht="12.95" hidden="1" customHeight="1" outlineLevel="1">
      <c r="B91" s="802"/>
      <c r="C91" s="196"/>
      <c r="D91" s="177"/>
      <c r="E91" s="195"/>
      <c r="F91" s="422"/>
      <c r="G91" s="180"/>
      <c r="H91" s="181"/>
      <c r="I91" s="360" t="str">
        <f t="shared" si="10"/>
        <v/>
      </c>
      <c r="J91" s="519" t="str">
        <f t="shared" si="11"/>
        <v/>
      </c>
      <c r="K91" s="182"/>
      <c r="L91" s="182"/>
      <c r="M91" s="183"/>
      <c r="N91" s="182"/>
      <c r="O91" s="184">
        <f t="shared" si="5"/>
        <v>0</v>
      </c>
      <c r="P91" s="185"/>
      <c r="Q91" s="186"/>
      <c r="R91" s="187"/>
      <c r="S91" s="188"/>
      <c r="T91" s="189" t="str">
        <f t="shared" si="12"/>
        <v/>
      </c>
      <c r="U91" s="190" t="str">
        <f t="shared" si="13"/>
        <v/>
      </c>
      <c r="V91" s="191" t="str">
        <f t="shared" si="14"/>
        <v/>
      </c>
      <c r="W91" s="263"/>
    </row>
    <row r="92" spans="2:23" ht="12.95" hidden="1" customHeight="1" outlineLevel="1">
      <c r="B92" s="802"/>
      <c r="C92" s="196"/>
      <c r="D92" s="177"/>
      <c r="E92" s="195"/>
      <c r="F92" s="422"/>
      <c r="G92" s="180"/>
      <c r="H92" s="181"/>
      <c r="I92" s="360" t="str">
        <f t="shared" si="10"/>
        <v/>
      </c>
      <c r="J92" s="519" t="str">
        <f t="shared" si="11"/>
        <v/>
      </c>
      <c r="K92" s="182"/>
      <c r="L92" s="182"/>
      <c r="M92" s="183"/>
      <c r="N92" s="182"/>
      <c r="O92" s="184">
        <f t="shared" si="5"/>
        <v>0</v>
      </c>
      <c r="P92" s="185"/>
      <c r="Q92" s="186"/>
      <c r="R92" s="187"/>
      <c r="S92" s="188"/>
      <c r="T92" s="189" t="str">
        <f t="shared" si="12"/>
        <v/>
      </c>
      <c r="U92" s="190" t="str">
        <f t="shared" si="13"/>
        <v/>
      </c>
      <c r="V92" s="191" t="str">
        <f t="shared" si="14"/>
        <v/>
      </c>
      <c r="W92" s="263"/>
    </row>
    <row r="93" spans="2:23" ht="12.95" hidden="1" customHeight="1" outlineLevel="1">
      <c r="B93" s="802"/>
      <c r="C93" s="196"/>
      <c r="D93" s="177"/>
      <c r="E93" s="195"/>
      <c r="F93" s="422"/>
      <c r="G93" s="180"/>
      <c r="H93" s="181"/>
      <c r="I93" s="360" t="str">
        <f t="shared" si="10"/>
        <v/>
      </c>
      <c r="J93" s="519" t="str">
        <f t="shared" si="11"/>
        <v/>
      </c>
      <c r="K93" s="182"/>
      <c r="L93" s="182"/>
      <c r="M93" s="183"/>
      <c r="N93" s="182"/>
      <c r="O93" s="184">
        <f t="shared" si="5"/>
        <v>0</v>
      </c>
      <c r="P93" s="185"/>
      <c r="Q93" s="186"/>
      <c r="R93" s="187"/>
      <c r="S93" s="188"/>
      <c r="T93" s="189" t="str">
        <f t="shared" si="12"/>
        <v/>
      </c>
      <c r="U93" s="190" t="str">
        <f t="shared" si="13"/>
        <v/>
      </c>
      <c r="V93" s="191" t="str">
        <f t="shared" si="14"/>
        <v/>
      </c>
      <c r="W93" s="263"/>
    </row>
    <row r="94" spans="2:23" ht="12.95" hidden="1" customHeight="1" outlineLevel="1">
      <c r="B94" s="802"/>
      <c r="C94" s="196"/>
      <c r="D94" s="177"/>
      <c r="E94" s="195"/>
      <c r="F94" s="422"/>
      <c r="G94" s="180"/>
      <c r="H94" s="181"/>
      <c r="I94" s="360" t="str">
        <f t="shared" si="10"/>
        <v/>
      </c>
      <c r="J94" s="519" t="str">
        <f t="shared" si="11"/>
        <v/>
      </c>
      <c r="K94" s="182"/>
      <c r="L94" s="182"/>
      <c r="M94" s="183"/>
      <c r="N94" s="182"/>
      <c r="O94" s="184">
        <f t="shared" si="5"/>
        <v>0</v>
      </c>
      <c r="P94" s="185"/>
      <c r="Q94" s="186"/>
      <c r="R94" s="187"/>
      <c r="S94" s="188"/>
      <c r="T94" s="189" t="str">
        <f t="shared" si="12"/>
        <v/>
      </c>
      <c r="U94" s="190" t="str">
        <f t="shared" si="13"/>
        <v/>
      </c>
      <c r="V94" s="191" t="str">
        <f t="shared" si="14"/>
        <v/>
      </c>
      <c r="W94" s="263"/>
    </row>
    <row r="95" spans="2:23" ht="12.95" hidden="1" customHeight="1" outlineLevel="1">
      <c r="B95" s="802"/>
      <c r="C95" s="196"/>
      <c r="D95" s="177"/>
      <c r="E95" s="195"/>
      <c r="F95" s="422"/>
      <c r="G95" s="180"/>
      <c r="H95" s="181"/>
      <c r="I95" s="360" t="str">
        <f t="shared" si="10"/>
        <v/>
      </c>
      <c r="J95" s="519" t="str">
        <f t="shared" si="11"/>
        <v/>
      </c>
      <c r="K95" s="182"/>
      <c r="L95" s="182"/>
      <c r="M95" s="183"/>
      <c r="N95" s="182"/>
      <c r="O95" s="184">
        <f t="shared" si="5"/>
        <v>0</v>
      </c>
      <c r="P95" s="185"/>
      <c r="Q95" s="186"/>
      <c r="R95" s="187"/>
      <c r="S95" s="188"/>
      <c r="T95" s="189" t="str">
        <f t="shared" si="12"/>
        <v/>
      </c>
      <c r="U95" s="190" t="str">
        <f t="shared" si="13"/>
        <v/>
      </c>
      <c r="V95" s="191" t="str">
        <f t="shared" si="14"/>
        <v/>
      </c>
      <c r="W95" s="263"/>
    </row>
    <row r="96" spans="2:23" ht="12.95" hidden="1" customHeight="1" outlineLevel="1">
      <c r="B96" s="802"/>
      <c r="C96" s="196"/>
      <c r="D96" s="177"/>
      <c r="E96" s="195"/>
      <c r="F96" s="422"/>
      <c r="G96" s="180"/>
      <c r="H96" s="181"/>
      <c r="I96" s="360" t="str">
        <f t="shared" si="10"/>
        <v/>
      </c>
      <c r="J96" s="519" t="str">
        <f t="shared" si="11"/>
        <v/>
      </c>
      <c r="K96" s="182"/>
      <c r="L96" s="182"/>
      <c r="M96" s="183"/>
      <c r="N96" s="182"/>
      <c r="O96" s="184">
        <f t="shared" si="5"/>
        <v>0</v>
      </c>
      <c r="P96" s="185"/>
      <c r="Q96" s="186"/>
      <c r="R96" s="187"/>
      <c r="S96" s="188"/>
      <c r="T96" s="189" t="str">
        <f t="shared" si="12"/>
        <v/>
      </c>
      <c r="U96" s="190" t="str">
        <f t="shared" si="13"/>
        <v/>
      </c>
      <c r="V96" s="191" t="str">
        <f t="shared" si="14"/>
        <v/>
      </c>
      <c r="W96" s="263"/>
    </row>
    <row r="97" spans="2:23" ht="12.95" hidden="1" customHeight="1" outlineLevel="1">
      <c r="B97" s="802"/>
      <c r="C97" s="194"/>
      <c r="D97" s="177"/>
      <c r="E97" s="195"/>
      <c r="F97" s="422"/>
      <c r="G97" s="197"/>
      <c r="H97" s="181"/>
      <c r="I97" s="360" t="str">
        <f t="shared" si="10"/>
        <v/>
      </c>
      <c r="J97" s="519" t="str">
        <f t="shared" si="11"/>
        <v/>
      </c>
      <c r="K97" s="182"/>
      <c r="L97" s="182"/>
      <c r="M97" s="183"/>
      <c r="N97" s="182"/>
      <c r="O97" s="184">
        <f t="shared" si="5"/>
        <v>0</v>
      </c>
      <c r="P97" s="185"/>
      <c r="Q97" s="186"/>
      <c r="R97" s="187"/>
      <c r="S97" s="188"/>
      <c r="T97" s="189" t="str">
        <f t="shared" si="12"/>
        <v/>
      </c>
      <c r="U97" s="190" t="str">
        <f t="shared" si="13"/>
        <v/>
      </c>
      <c r="V97" s="191" t="str">
        <f t="shared" si="14"/>
        <v/>
      </c>
      <c r="W97" s="263"/>
    </row>
    <row r="98" spans="2:23" ht="12.95" hidden="1" customHeight="1" outlineLevel="1">
      <c r="B98" s="802"/>
      <c r="C98" s="196"/>
      <c r="D98" s="177"/>
      <c r="E98" s="195"/>
      <c r="F98" s="422"/>
      <c r="G98" s="180"/>
      <c r="H98" s="181"/>
      <c r="I98" s="360" t="str">
        <f t="shared" si="10"/>
        <v/>
      </c>
      <c r="J98" s="519" t="str">
        <f t="shared" si="11"/>
        <v/>
      </c>
      <c r="K98" s="182"/>
      <c r="L98" s="182"/>
      <c r="M98" s="183"/>
      <c r="N98" s="182"/>
      <c r="O98" s="184">
        <f t="shared" ref="O98:O142" si="15">IF(K98*L98*N98=0,0,(L98*N98)/K98)</f>
        <v>0</v>
      </c>
      <c r="P98" s="185"/>
      <c r="Q98" s="186"/>
      <c r="R98" s="187"/>
      <c r="S98" s="188"/>
      <c r="T98" s="189" t="str">
        <f t="shared" si="12"/>
        <v/>
      </c>
      <c r="U98" s="190" t="str">
        <f t="shared" si="13"/>
        <v/>
      </c>
      <c r="V98" s="191" t="str">
        <f t="shared" si="14"/>
        <v/>
      </c>
      <c r="W98" s="263"/>
    </row>
    <row r="99" spans="2:23" ht="12.95" hidden="1" customHeight="1" outlineLevel="1">
      <c r="B99" s="802"/>
      <c r="C99" s="196"/>
      <c r="D99" s="177"/>
      <c r="E99" s="195"/>
      <c r="F99" s="422"/>
      <c r="G99" s="180"/>
      <c r="H99" s="181"/>
      <c r="I99" s="360" t="str">
        <f t="shared" si="10"/>
        <v/>
      </c>
      <c r="J99" s="519" t="str">
        <f t="shared" si="11"/>
        <v/>
      </c>
      <c r="K99" s="182"/>
      <c r="L99" s="182"/>
      <c r="M99" s="183"/>
      <c r="N99" s="182"/>
      <c r="O99" s="184">
        <f t="shared" si="15"/>
        <v>0</v>
      </c>
      <c r="P99" s="185"/>
      <c r="Q99" s="186"/>
      <c r="R99" s="187"/>
      <c r="S99" s="188"/>
      <c r="T99" s="189" t="str">
        <f t="shared" si="12"/>
        <v/>
      </c>
      <c r="U99" s="190" t="str">
        <f t="shared" si="13"/>
        <v/>
      </c>
      <c r="V99" s="191" t="str">
        <f t="shared" si="14"/>
        <v/>
      </c>
      <c r="W99" s="263"/>
    </row>
    <row r="100" spans="2:23" ht="12.95" hidden="1" customHeight="1" outlineLevel="1">
      <c r="B100" s="802"/>
      <c r="C100" s="192"/>
      <c r="D100" s="177"/>
      <c r="E100" s="193"/>
      <c r="F100" s="422"/>
      <c r="G100" s="180"/>
      <c r="H100" s="181"/>
      <c r="I100" s="360" t="str">
        <f t="shared" si="10"/>
        <v/>
      </c>
      <c r="J100" s="519" t="str">
        <f t="shared" si="11"/>
        <v/>
      </c>
      <c r="K100" s="182"/>
      <c r="L100" s="182"/>
      <c r="M100" s="183"/>
      <c r="N100" s="182"/>
      <c r="O100" s="184">
        <f t="shared" si="15"/>
        <v>0</v>
      </c>
      <c r="P100" s="185"/>
      <c r="Q100" s="186"/>
      <c r="R100" s="187"/>
      <c r="S100" s="188"/>
      <c r="T100" s="189" t="str">
        <f t="shared" si="12"/>
        <v/>
      </c>
      <c r="U100" s="190" t="str">
        <f t="shared" si="13"/>
        <v/>
      </c>
      <c r="V100" s="191" t="str">
        <f t="shared" si="14"/>
        <v/>
      </c>
      <c r="W100" s="263"/>
    </row>
    <row r="101" spans="2:23" ht="12.95" hidden="1" customHeight="1" outlineLevel="1">
      <c r="B101" s="802"/>
      <c r="C101" s="196"/>
      <c r="D101" s="177"/>
      <c r="E101" s="195"/>
      <c r="F101" s="422"/>
      <c r="G101" s="180"/>
      <c r="H101" s="181"/>
      <c r="I101" s="360" t="str">
        <f t="shared" si="10"/>
        <v/>
      </c>
      <c r="J101" s="519" t="str">
        <f t="shared" si="11"/>
        <v/>
      </c>
      <c r="K101" s="182"/>
      <c r="L101" s="182"/>
      <c r="M101" s="183"/>
      <c r="N101" s="182"/>
      <c r="O101" s="184">
        <f t="shared" si="15"/>
        <v>0</v>
      </c>
      <c r="P101" s="185"/>
      <c r="Q101" s="186"/>
      <c r="R101" s="187"/>
      <c r="S101" s="188"/>
      <c r="T101" s="189" t="str">
        <f t="shared" si="12"/>
        <v/>
      </c>
      <c r="U101" s="190" t="str">
        <f t="shared" si="13"/>
        <v/>
      </c>
      <c r="V101" s="191" t="str">
        <f t="shared" si="14"/>
        <v/>
      </c>
      <c r="W101" s="263"/>
    </row>
    <row r="102" spans="2:23" ht="12.95" hidden="1" customHeight="1" outlineLevel="1">
      <c r="B102" s="802"/>
      <c r="C102" s="196"/>
      <c r="D102" s="177"/>
      <c r="E102" s="195"/>
      <c r="F102" s="422"/>
      <c r="G102" s="180"/>
      <c r="H102" s="181"/>
      <c r="I102" s="360" t="str">
        <f t="shared" si="10"/>
        <v/>
      </c>
      <c r="J102" s="519" t="str">
        <f t="shared" si="11"/>
        <v/>
      </c>
      <c r="K102" s="182"/>
      <c r="L102" s="182"/>
      <c r="M102" s="183"/>
      <c r="N102" s="182"/>
      <c r="O102" s="184">
        <f t="shared" si="15"/>
        <v>0</v>
      </c>
      <c r="P102" s="185"/>
      <c r="Q102" s="186"/>
      <c r="R102" s="187"/>
      <c r="S102" s="188"/>
      <c r="T102" s="189" t="str">
        <f t="shared" si="12"/>
        <v/>
      </c>
      <c r="U102" s="190" t="str">
        <f t="shared" si="13"/>
        <v/>
      </c>
      <c r="V102" s="191" t="str">
        <f t="shared" si="14"/>
        <v/>
      </c>
      <c r="W102" s="263"/>
    </row>
    <row r="103" spans="2:23" ht="12.95" hidden="1" customHeight="1" outlineLevel="1">
      <c r="B103" s="802"/>
      <c r="C103" s="196"/>
      <c r="D103" s="177"/>
      <c r="E103" s="195"/>
      <c r="F103" s="422"/>
      <c r="G103" s="180"/>
      <c r="H103" s="181"/>
      <c r="I103" s="360" t="str">
        <f t="shared" si="10"/>
        <v/>
      </c>
      <c r="J103" s="519" t="str">
        <f t="shared" si="11"/>
        <v/>
      </c>
      <c r="K103" s="182"/>
      <c r="L103" s="182"/>
      <c r="M103" s="183"/>
      <c r="N103" s="182"/>
      <c r="O103" s="184">
        <f t="shared" si="15"/>
        <v>0</v>
      </c>
      <c r="P103" s="185"/>
      <c r="Q103" s="186"/>
      <c r="R103" s="187"/>
      <c r="S103" s="188"/>
      <c r="T103" s="189" t="str">
        <f t="shared" si="12"/>
        <v/>
      </c>
      <c r="U103" s="190" t="str">
        <f t="shared" si="13"/>
        <v/>
      </c>
      <c r="V103" s="191" t="str">
        <f t="shared" si="14"/>
        <v/>
      </c>
      <c r="W103" s="263"/>
    </row>
    <row r="104" spans="2:23" ht="12.95" hidden="1" customHeight="1" outlineLevel="1">
      <c r="B104" s="802"/>
      <c r="C104" s="196"/>
      <c r="D104" s="177"/>
      <c r="E104" s="195"/>
      <c r="F104" s="422"/>
      <c r="G104" s="180"/>
      <c r="H104" s="181"/>
      <c r="I104" s="360" t="str">
        <f t="shared" si="10"/>
        <v/>
      </c>
      <c r="J104" s="519" t="str">
        <f t="shared" si="11"/>
        <v/>
      </c>
      <c r="K104" s="182"/>
      <c r="L104" s="182"/>
      <c r="M104" s="183"/>
      <c r="N104" s="182"/>
      <c r="O104" s="184">
        <f t="shared" si="15"/>
        <v>0</v>
      </c>
      <c r="P104" s="185"/>
      <c r="Q104" s="186"/>
      <c r="R104" s="187"/>
      <c r="S104" s="188"/>
      <c r="T104" s="189" t="str">
        <f t="shared" si="12"/>
        <v/>
      </c>
      <c r="U104" s="190" t="str">
        <f t="shared" si="13"/>
        <v/>
      </c>
      <c r="V104" s="191" t="str">
        <f t="shared" si="14"/>
        <v/>
      </c>
      <c r="W104" s="263"/>
    </row>
    <row r="105" spans="2:23" ht="12.95" hidden="1" customHeight="1" outlineLevel="1">
      <c r="B105" s="802"/>
      <c r="C105" s="196"/>
      <c r="D105" s="177"/>
      <c r="E105" s="195"/>
      <c r="F105" s="422"/>
      <c r="G105" s="180"/>
      <c r="H105" s="181"/>
      <c r="I105" s="360" t="str">
        <f t="shared" si="10"/>
        <v/>
      </c>
      <c r="J105" s="519" t="str">
        <f t="shared" si="11"/>
        <v/>
      </c>
      <c r="K105" s="182"/>
      <c r="L105" s="182"/>
      <c r="M105" s="183"/>
      <c r="N105" s="182"/>
      <c r="O105" s="184">
        <f t="shared" si="15"/>
        <v>0</v>
      </c>
      <c r="P105" s="185"/>
      <c r="Q105" s="186"/>
      <c r="R105" s="187"/>
      <c r="S105" s="188"/>
      <c r="T105" s="189" t="str">
        <f t="shared" si="12"/>
        <v/>
      </c>
      <c r="U105" s="190" t="str">
        <f t="shared" si="13"/>
        <v/>
      </c>
      <c r="V105" s="191" t="str">
        <f t="shared" si="14"/>
        <v/>
      </c>
      <c r="W105" s="263"/>
    </row>
    <row r="106" spans="2:23" ht="12.95" hidden="1" customHeight="1" outlineLevel="1">
      <c r="B106" s="802"/>
      <c r="C106" s="194"/>
      <c r="D106" s="177"/>
      <c r="E106" s="195"/>
      <c r="F106" s="422"/>
      <c r="G106" s="180"/>
      <c r="H106" s="181"/>
      <c r="I106" s="360" t="str">
        <f t="shared" si="10"/>
        <v/>
      </c>
      <c r="J106" s="519" t="str">
        <f t="shared" si="11"/>
        <v/>
      </c>
      <c r="K106" s="182"/>
      <c r="L106" s="182"/>
      <c r="M106" s="183"/>
      <c r="N106" s="182"/>
      <c r="O106" s="184">
        <f t="shared" si="15"/>
        <v>0</v>
      </c>
      <c r="P106" s="185"/>
      <c r="Q106" s="186"/>
      <c r="R106" s="187"/>
      <c r="S106" s="188"/>
      <c r="T106" s="189" t="str">
        <f t="shared" si="12"/>
        <v/>
      </c>
      <c r="U106" s="190" t="str">
        <f t="shared" si="13"/>
        <v/>
      </c>
      <c r="V106" s="191" t="str">
        <f t="shared" si="14"/>
        <v/>
      </c>
      <c r="W106" s="263"/>
    </row>
    <row r="107" spans="2:23" ht="12.95" hidden="1" customHeight="1" outlineLevel="1" thickBot="1">
      <c r="B107" s="802"/>
      <c r="C107" s="266"/>
      <c r="D107" s="236"/>
      <c r="E107" s="237"/>
      <c r="F107" s="423"/>
      <c r="G107" s="238"/>
      <c r="H107" s="239"/>
      <c r="I107" s="361" t="str">
        <f t="shared" si="10"/>
        <v/>
      </c>
      <c r="J107" s="520" t="str">
        <f t="shared" si="11"/>
        <v/>
      </c>
      <c r="K107" s="240"/>
      <c r="L107" s="240"/>
      <c r="M107" s="241"/>
      <c r="N107" s="240"/>
      <c r="O107" s="242">
        <f t="shared" si="15"/>
        <v>0</v>
      </c>
      <c r="P107" s="243"/>
      <c r="Q107" s="244"/>
      <c r="R107" s="245"/>
      <c r="S107" s="246"/>
      <c r="T107" s="247" t="str">
        <f t="shared" si="12"/>
        <v/>
      </c>
      <c r="U107" s="248" t="str">
        <f t="shared" si="13"/>
        <v/>
      </c>
      <c r="V107" s="249" t="str">
        <f t="shared" si="14"/>
        <v/>
      </c>
      <c r="W107" s="250"/>
    </row>
    <row r="108" spans="2:23" ht="12.95" customHeight="1" collapsed="1" thickBot="1">
      <c r="B108" s="803"/>
      <c r="C108" s="333" t="s">
        <v>294</v>
      </c>
      <c r="D108" s="235"/>
      <c r="E108" s="334"/>
      <c r="F108" s="424"/>
      <c r="G108" s="335"/>
      <c r="H108" s="336"/>
      <c r="I108" s="345"/>
      <c r="J108" s="517">
        <f>SUM(J71:J107)</f>
        <v>0</v>
      </c>
      <c r="K108" s="337"/>
      <c r="L108" s="337"/>
      <c r="M108" s="338"/>
      <c r="N108" s="337"/>
      <c r="O108" s="339"/>
      <c r="P108" s="340"/>
      <c r="Q108" s="341"/>
      <c r="R108" s="342"/>
      <c r="S108" s="343"/>
      <c r="T108" s="344"/>
      <c r="U108" s="345"/>
      <c r="V108" s="346"/>
      <c r="W108" s="347"/>
    </row>
    <row r="109" spans="2:23" ht="12.95" customHeight="1">
      <c r="B109" s="801" t="s">
        <v>402</v>
      </c>
      <c r="C109" s="218"/>
      <c r="D109" s="219"/>
      <c r="E109" s="416"/>
      <c r="F109" s="421"/>
      <c r="G109" s="221"/>
      <c r="H109" s="222"/>
      <c r="I109" s="358" t="str">
        <f t="shared" ref="I109:I114" si="16">IF(C109=0,"",D109*1/G109*H109)</f>
        <v/>
      </c>
      <c r="J109" s="518" t="str">
        <f t="shared" ref="J109:J114" si="17">IF(C109=0,"",ROUND(F109*I109,0))</f>
        <v/>
      </c>
      <c r="K109" s="223"/>
      <c r="L109" s="223"/>
      <c r="M109" s="224"/>
      <c r="N109" s="223"/>
      <c r="O109" s="225">
        <f t="shared" ref="O109:O114" si="18">IF(K109*L109*N109=0,0,(L109*N109)/K109)</f>
        <v>0</v>
      </c>
      <c r="P109" s="226"/>
      <c r="Q109" s="227"/>
      <c r="R109" s="228"/>
      <c r="S109" s="229"/>
      <c r="T109" s="230" t="str">
        <f t="shared" ref="T109:V114" si="19">IF(Q109="","",Q109*$D109)</f>
        <v/>
      </c>
      <c r="U109" s="231" t="str">
        <f t="shared" si="19"/>
        <v/>
      </c>
      <c r="V109" s="232" t="str">
        <f t="shared" si="19"/>
        <v/>
      </c>
      <c r="W109" s="233"/>
    </row>
    <row r="110" spans="2:23" ht="12.95" customHeight="1">
      <c r="B110" s="802"/>
      <c r="C110" s="174"/>
      <c r="D110" s="177"/>
      <c r="E110" s="193"/>
      <c r="F110" s="422"/>
      <c r="G110" s="180"/>
      <c r="H110" s="181"/>
      <c r="I110" s="360" t="str">
        <f t="shared" si="16"/>
        <v/>
      </c>
      <c r="J110" s="519" t="str">
        <f t="shared" si="17"/>
        <v/>
      </c>
      <c r="K110" s="182"/>
      <c r="L110" s="182"/>
      <c r="M110" s="183"/>
      <c r="N110" s="182"/>
      <c r="O110" s="184">
        <f t="shared" si="18"/>
        <v>0</v>
      </c>
      <c r="P110" s="185"/>
      <c r="Q110" s="186"/>
      <c r="R110" s="187"/>
      <c r="S110" s="188"/>
      <c r="T110" s="189" t="str">
        <f t="shared" si="19"/>
        <v/>
      </c>
      <c r="U110" s="190" t="str">
        <f t="shared" si="19"/>
        <v/>
      </c>
      <c r="V110" s="191" t="str">
        <f t="shared" si="19"/>
        <v/>
      </c>
      <c r="W110" s="258"/>
    </row>
    <row r="111" spans="2:23" ht="12.95" customHeight="1">
      <c r="B111" s="802"/>
      <c r="C111" s="194"/>
      <c r="D111" s="177"/>
      <c r="E111" s="195"/>
      <c r="F111" s="422"/>
      <c r="G111" s="180"/>
      <c r="H111" s="181"/>
      <c r="I111" s="360" t="str">
        <f t="shared" si="16"/>
        <v/>
      </c>
      <c r="J111" s="519" t="str">
        <f t="shared" si="17"/>
        <v/>
      </c>
      <c r="K111" s="182"/>
      <c r="L111" s="182"/>
      <c r="M111" s="183"/>
      <c r="N111" s="182"/>
      <c r="O111" s="184">
        <f t="shared" si="18"/>
        <v>0</v>
      </c>
      <c r="P111" s="185"/>
      <c r="Q111" s="186"/>
      <c r="R111" s="187"/>
      <c r="S111" s="188"/>
      <c r="T111" s="189" t="str">
        <f t="shared" si="19"/>
        <v/>
      </c>
      <c r="U111" s="190" t="str">
        <f t="shared" si="19"/>
        <v/>
      </c>
      <c r="V111" s="191" t="str">
        <f t="shared" si="19"/>
        <v/>
      </c>
      <c r="W111" s="258"/>
    </row>
    <row r="112" spans="2:23" ht="12.95" customHeight="1">
      <c r="B112" s="802"/>
      <c r="C112" s="194"/>
      <c r="D112" s="177"/>
      <c r="E112" s="195"/>
      <c r="F112" s="422"/>
      <c r="G112" s="180"/>
      <c r="H112" s="181"/>
      <c r="I112" s="360" t="str">
        <f t="shared" si="16"/>
        <v/>
      </c>
      <c r="J112" s="519" t="str">
        <f t="shared" si="17"/>
        <v/>
      </c>
      <c r="K112" s="182"/>
      <c r="L112" s="182"/>
      <c r="M112" s="183"/>
      <c r="N112" s="182"/>
      <c r="O112" s="184">
        <f t="shared" si="18"/>
        <v>0</v>
      </c>
      <c r="P112" s="185"/>
      <c r="Q112" s="186"/>
      <c r="R112" s="187"/>
      <c r="S112" s="188"/>
      <c r="T112" s="189" t="str">
        <f t="shared" si="19"/>
        <v/>
      </c>
      <c r="U112" s="190" t="str">
        <f t="shared" si="19"/>
        <v/>
      </c>
      <c r="V112" s="191" t="str">
        <f t="shared" si="19"/>
        <v/>
      </c>
      <c r="W112" s="258"/>
    </row>
    <row r="113" spans="2:23" ht="12.95" customHeight="1">
      <c r="B113" s="802"/>
      <c r="C113" s="196"/>
      <c r="D113" s="177"/>
      <c r="E113" s="195"/>
      <c r="F113" s="422"/>
      <c r="G113" s="180"/>
      <c r="H113" s="181"/>
      <c r="I113" s="360" t="str">
        <f t="shared" si="16"/>
        <v/>
      </c>
      <c r="J113" s="519" t="str">
        <f t="shared" si="17"/>
        <v/>
      </c>
      <c r="K113" s="182"/>
      <c r="L113" s="182"/>
      <c r="M113" s="183"/>
      <c r="N113" s="182"/>
      <c r="O113" s="184">
        <f t="shared" si="18"/>
        <v>0</v>
      </c>
      <c r="P113" s="185"/>
      <c r="Q113" s="186"/>
      <c r="R113" s="187"/>
      <c r="S113" s="188"/>
      <c r="T113" s="189" t="str">
        <f t="shared" si="19"/>
        <v/>
      </c>
      <c r="U113" s="190" t="str">
        <f t="shared" si="19"/>
        <v/>
      </c>
      <c r="V113" s="191" t="str">
        <f t="shared" si="19"/>
        <v/>
      </c>
      <c r="W113" s="258"/>
    </row>
    <row r="114" spans="2:23" ht="12.95" customHeight="1" thickBot="1">
      <c r="B114" s="802"/>
      <c r="C114" s="264"/>
      <c r="D114" s="236"/>
      <c r="E114" s="257"/>
      <c r="F114" s="423"/>
      <c r="G114" s="238"/>
      <c r="H114" s="239"/>
      <c r="I114" s="361" t="str">
        <f t="shared" si="16"/>
        <v/>
      </c>
      <c r="J114" s="520" t="str">
        <f t="shared" si="17"/>
        <v/>
      </c>
      <c r="K114" s="240"/>
      <c r="L114" s="240"/>
      <c r="M114" s="241"/>
      <c r="N114" s="240"/>
      <c r="O114" s="242">
        <f t="shared" si="18"/>
        <v>0</v>
      </c>
      <c r="P114" s="243"/>
      <c r="Q114" s="244"/>
      <c r="R114" s="245"/>
      <c r="S114" s="246"/>
      <c r="T114" s="247" t="str">
        <f t="shared" si="19"/>
        <v/>
      </c>
      <c r="U114" s="248" t="str">
        <f t="shared" si="19"/>
        <v/>
      </c>
      <c r="V114" s="249" t="str">
        <f t="shared" si="19"/>
        <v/>
      </c>
      <c r="W114" s="250"/>
    </row>
    <row r="115" spans="2:23" ht="12.95" customHeight="1" thickTop="1" thickBot="1">
      <c r="B115" s="803"/>
      <c r="C115" s="333" t="s">
        <v>294</v>
      </c>
      <c r="D115" s="235"/>
      <c r="E115" s="334"/>
      <c r="F115" s="424"/>
      <c r="G115" s="335"/>
      <c r="H115" s="336"/>
      <c r="I115" s="345"/>
      <c r="J115" s="517">
        <f>SUM(J109:J114)</f>
        <v>0</v>
      </c>
      <c r="K115" s="337"/>
      <c r="L115" s="337"/>
      <c r="M115" s="338"/>
      <c r="N115" s="337"/>
      <c r="O115" s="339"/>
      <c r="P115" s="340"/>
      <c r="Q115" s="341"/>
      <c r="R115" s="342"/>
      <c r="S115" s="343"/>
      <c r="T115" s="344"/>
      <c r="U115" s="345"/>
      <c r="V115" s="346"/>
      <c r="W115" s="347"/>
    </row>
    <row r="116" spans="2:23" ht="12.95" customHeight="1">
      <c r="B116" s="804" t="s">
        <v>426</v>
      </c>
      <c r="C116" s="260"/>
      <c r="D116" s="219"/>
      <c r="E116" s="261"/>
      <c r="F116" s="421"/>
      <c r="G116" s="221"/>
      <c r="H116" s="222"/>
      <c r="I116" s="358" t="str">
        <f t="shared" ref="I116:I119" si="20">IF(C116=0,"",D116*1/G116*H116)</f>
        <v/>
      </c>
      <c r="J116" s="518" t="str">
        <f t="shared" ref="J116:J119" si="21">IF(C116=0,"",ROUND(F116*I116,0))</f>
        <v/>
      </c>
      <c r="K116" s="223"/>
      <c r="L116" s="223"/>
      <c r="M116" s="224"/>
      <c r="N116" s="223"/>
      <c r="O116" s="225">
        <f>IF(K116*L116*N116=0,0,(L116*N116)/K116)</f>
        <v>0</v>
      </c>
      <c r="P116" s="226"/>
      <c r="Q116" s="227"/>
      <c r="R116" s="228"/>
      <c r="S116" s="229"/>
      <c r="T116" s="230" t="str">
        <f t="shared" ref="T116:T117" si="22">IF(Q116="","",Q116*$D116)</f>
        <v/>
      </c>
      <c r="U116" s="231" t="str">
        <f t="shared" ref="U116:U117" si="23">IF(R116="","",R116*$D116)</f>
        <v/>
      </c>
      <c r="V116" s="232" t="str">
        <f t="shared" ref="V116:V117" si="24">IF(S116="","",S116*$D116)</f>
        <v/>
      </c>
      <c r="W116" s="233"/>
    </row>
    <row r="117" spans="2:23" ht="12.95" customHeight="1">
      <c r="B117" s="805"/>
      <c r="C117" s="196"/>
      <c r="D117" s="177"/>
      <c r="E117" s="195"/>
      <c r="F117" s="422"/>
      <c r="G117" s="180"/>
      <c r="H117" s="181"/>
      <c r="I117" s="360" t="str">
        <f t="shared" si="20"/>
        <v/>
      </c>
      <c r="J117" s="519" t="str">
        <f t="shared" si="21"/>
        <v/>
      </c>
      <c r="K117" s="182"/>
      <c r="L117" s="182"/>
      <c r="M117" s="183"/>
      <c r="N117" s="182"/>
      <c r="O117" s="184">
        <f>IF(K117*L117*N117=0,0,(L117*N117)/K117)</f>
        <v>0</v>
      </c>
      <c r="P117" s="185"/>
      <c r="Q117" s="186"/>
      <c r="R117" s="187"/>
      <c r="S117" s="188"/>
      <c r="T117" s="189" t="str">
        <f t="shared" si="22"/>
        <v/>
      </c>
      <c r="U117" s="190" t="str">
        <f t="shared" si="23"/>
        <v/>
      </c>
      <c r="V117" s="191" t="str">
        <f t="shared" si="24"/>
        <v/>
      </c>
      <c r="W117" s="258"/>
    </row>
    <row r="118" spans="2:23" ht="12.95" customHeight="1">
      <c r="B118" s="805"/>
      <c r="C118" s="196"/>
      <c r="D118" s="177"/>
      <c r="E118" s="195"/>
      <c r="F118" s="422"/>
      <c r="G118" s="180"/>
      <c r="H118" s="181"/>
      <c r="I118" s="360" t="str">
        <f t="shared" si="20"/>
        <v/>
      </c>
      <c r="J118" s="519" t="str">
        <f t="shared" si="21"/>
        <v/>
      </c>
      <c r="K118" s="182"/>
      <c r="L118" s="182"/>
      <c r="M118" s="183"/>
      <c r="N118" s="182"/>
      <c r="O118" s="184"/>
      <c r="P118" s="185"/>
      <c r="Q118" s="186"/>
      <c r="R118" s="187"/>
      <c r="S118" s="188"/>
      <c r="T118" s="189"/>
      <c r="U118" s="190"/>
      <c r="V118" s="191"/>
      <c r="W118" s="258"/>
    </row>
    <row r="119" spans="2:23" ht="12.95" customHeight="1" thickBot="1">
      <c r="B119" s="805"/>
      <c r="C119" s="264"/>
      <c r="D119" s="236"/>
      <c r="E119" s="257"/>
      <c r="F119" s="423"/>
      <c r="G119" s="238"/>
      <c r="H119" s="239"/>
      <c r="I119" s="361" t="str">
        <f t="shared" si="20"/>
        <v/>
      </c>
      <c r="J119" s="520" t="str">
        <f t="shared" si="21"/>
        <v/>
      </c>
      <c r="K119" s="240"/>
      <c r="L119" s="240"/>
      <c r="M119" s="241"/>
      <c r="N119" s="240"/>
      <c r="O119" s="242">
        <f>IF(K119*L119*N119=0,0,(L119*N119)/K119)</f>
        <v>0</v>
      </c>
      <c r="P119" s="243"/>
      <c r="Q119" s="244"/>
      <c r="R119" s="245"/>
      <c r="S119" s="246"/>
      <c r="T119" s="247" t="str">
        <f>IF(Q119="","",Q119*$D119)</f>
        <v/>
      </c>
      <c r="U119" s="248" t="str">
        <f>IF(R119="","",R119*$D119)</f>
        <v/>
      </c>
      <c r="V119" s="249" t="str">
        <f>IF(S119="","",S119*$D119)</f>
        <v/>
      </c>
      <c r="W119" s="250"/>
    </row>
    <row r="120" spans="2:23" ht="12.95" customHeight="1" thickTop="1" thickBot="1">
      <c r="B120" s="806"/>
      <c r="C120" s="333" t="s">
        <v>294</v>
      </c>
      <c r="D120" s="235"/>
      <c r="E120" s="334"/>
      <c r="F120" s="424"/>
      <c r="G120" s="335"/>
      <c r="H120" s="336"/>
      <c r="I120" s="345"/>
      <c r="J120" s="517">
        <f>SUM(J116:J119)</f>
        <v>0</v>
      </c>
      <c r="K120" s="337"/>
      <c r="L120" s="337"/>
      <c r="M120" s="338"/>
      <c r="N120" s="337"/>
      <c r="O120" s="339"/>
      <c r="P120" s="340"/>
      <c r="Q120" s="341"/>
      <c r="R120" s="342"/>
      <c r="S120" s="343"/>
      <c r="T120" s="344"/>
      <c r="U120" s="345"/>
      <c r="V120" s="346"/>
      <c r="W120" s="347"/>
    </row>
    <row r="121" spans="2:23" ht="12.95" customHeight="1">
      <c r="B121" s="804" t="s">
        <v>428</v>
      </c>
      <c r="C121" s="260" t="s">
        <v>526</v>
      </c>
      <c r="D121" s="219">
        <f>+④収入!B21/60</f>
        <v>4.666666666666667</v>
      </c>
      <c r="E121" s="261" t="s">
        <v>80</v>
      </c>
      <c r="F121" s="421">
        <v>1560</v>
      </c>
      <c r="G121" s="221">
        <v>1</v>
      </c>
      <c r="H121" s="222">
        <v>1</v>
      </c>
      <c r="I121" s="358">
        <f t="shared" ref="I121:I125" si="25">IF(C121=0,"",D121*1/G121*H121)</f>
        <v>4.666666666666667</v>
      </c>
      <c r="J121" s="518">
        <f t="shared" ref="J121:J125" si="26">IF(C121=0,"",ROUND(F121*I121,0))</f>
        <v>7280</v>
      </c>
      <c r="K121" s="223"/>
      <c r="L121" s="223"/>
      <c r="M121" s="224"/>
      <c r="N121" s="223"/>
      <c r="O121" s="225">
        <f>IF(K121*L121*N121=0,0,(L121*N121)/K121)</f>
        <v>0</v>
      </c>
      <c r="P121" s="226"/>
      <c r="Q121" s="227"/>
      <c r="R121" s="228"/>
      <c r="S121" s="229"/>
      <c r="T121" s="230" t="str">
        <f t="shared" ref="T121:V123" si="27">IF(Q121="","",Q121*$D121)</f>
        <v/>
      </c>
      <c r="U121" s="231" t="str">
        <f t="shared" si="27"/>
        <v/>
      </c>
      <c r="V121" s="232" t="str">
        <f t="shared" si="27"/>
        <v/>
      </c>
      <c r="W121" s="233" t="s">
        <v>540</v>
      </c>
    </row>
    <row r="122" spans="2:23" ht="12.95" customHeight="1">
      <c r="B122" s="805"/>
      <c r="C122" s="196"/>
      <c r="D122" s="177"/>
      <c r="E122" s="195"/>
      <c r="F122" s="422"/>
      <c r="G122" s="180"/>
      <c r="H122" s="181"/>
      <c r="I122" s="360" t="str">
        <f t="shared" si="25"/>
        <v/>
      </c>
      <c r="J122" s="519" t="str">
        <f t="shared" si="26"/>
        <v/>
      </c>
      <c r="K122" s="182"/>
      <c r="L122" s="182"/>
      <c r="M122" s="183"/>
      <c r="N122" s="182"/>
      <c r="O122" s="184">
        <f>IF(K122*L122*N122=0,0,(L122*N122)/K122)</f>
        <v>0</v>
      </c>
      <c r="P122" s="185"/>
      <c r="Q122" s="186"/>
      <c r="R122" s="187"/>
      <c r="S122" s="188"/>
      <c r="T122" s="189" t="str">
        <f t="shared" si="27"/>
        <v/>
      </c>
      <c r="U122" s="190" t="str">
        <f t="shared" si="27"/>
        <v/>
      </c>
      <c r="V122" s="191" t="str">
        <f t="shared" si="27"/>
        <v/>
      </c>
      <c r="W122" s="258"/>
    </row>
    <row r="123" spans="2:23" ht="12.95" customHeight="1">
      <c r="B123" s="805"/>
      <c r="C123" s="196"/>
      <c r="D123" s="177"/>
      <c r="E123" s="195"/>
      <c r="F123" s="422"/>
      <c r="G123" s="180"/>
      <c r="H123" s="181"/>
      <c r="I123" s="360" t="str">
        <f t="shared" si="25"/>
        <v/>
      </c>
      <c r="J123" s="519" t="str">
        <f t="shared" si="26"/>
        <v/>
      </c>
      <c r="K123" s="182"/>
      <c r="L123" s="182"/>
      <c r="M123" s="183"/>
      <c r="N123" s="182"/>
      <c r="O123" s="184">
        <f>IF(K123*L123*N123=0,0,(L123*N123)/K123)</f>
        <v>0</v>
      </c>
      <c r="P123" s="185"/>
      <c r="Q123" s="186"/>
      <c r="R123" s="187"/>
      <c r="S123" s="188"/>
      <c r="T123" s="189" t="str">
        <f t="shared" si="27"/>
        <v/>
      </c>
      <c r="U123" s="190" t="str">
        <f t="shared" si="27"/>
        <v/>
      </c>
      <c r="V123" s="191" t="str">
        <f t="shared" si="27"/>
        <v/>
      </c>
      <c r="W123" s="258"/>
    </row>
    <row r="124" spans="2:23" ht="12.95" customHeight="1">
      <c r="B124" s="805"/>
      <c r="C124" s="196"/>
      <c r="D124" s="177"/>
      <c r="E124" s="195"/>
      <c r="F124" s="422"/>
      <c r="G124" s="180"/>
      <c r="H124" s="181"/>
      <c r="I124" s="360" t="str">
        <f t="shared" si="25"/>
        <v/>
      </c>
      <c r="J124" s="519" t="str">
        <f t="shared" si="26"/>
        <v/>
      </c>
      <c r="K124" s="182"/>
      <c r="L124" s="182"/>
      <c r="M124" s="183"/>
      <c r="N124" s="182"/>
      <c r="O124" s="184"/>
      <c r="P124" s="185"/>
      <c r="Q124" s="186"/>
      <c r="R124" s="187"/>
      <c r="S124" s="188"/>
      <c r="T124" s="189"/>
      <c r="U124" s="190"/>
      <c r="V124" s="191"/>
      <c r="W124" s="258"/>
    </row>
    <row r="125" spans="2:23" ht="12.95" customHeight="1" thickBot="1">
      <c r="B125" s="805"/>
      <c r="C125" s="264"/>
      <c r="D125" s="236"/>
      <c r="E125" s="257"/>
      <c r="F125" s="423"/>
      <c r="G125" s="238"/>
      <c r="H125" s="239"/>
      <c r="I125" s="361" t="str">
        <f t="shared" si="25"/>
        <v/>
      </c>
      <c r="J125" s="520" t="str">
        <f t="shared" si="26"/>
        <v/>
      </c>
      <c r="K125" s="240"/>
      <c r="L125" s="240"/>
      <c r="M125" s="241"/>
      <c r="N125" s="240"/>
      <c r="O125" s="242">
        <f>IF(K125*L125*N125=0,0,(L125*N125)/K125)</f>
        <v>0</v>
      </c>
      <c r="P125" s="243"/>
      <c r="Q125" s="244"/>
      <c r="R125" s="245"/>
      <c r="S125" s="246"/>
      <c r="T125" s="247" t="str">
        <f>IF(Q125="","",Q125*$D125)</f>
        <v/>
      </c>
      <c r="U125" s="248" t="str">
        <f>IF(R125="","",R125*$D125)</f>
        <v/>
      </c>
      <c r="V125" s="249" t="str">
        <f>IF(S125="","",S125*$D125)</f>
        <v/>
      </c>
      <c r="W125" s="250"/>
    </row>
    <row r="126" spans="2:23" ht="12.95" customHeight="1" thickTop="1" thickBot="1">
      <c r="B126" s="806"/>
      <c r="C126" s="333" t="s">
        <v>294</v>
      </c>
      <c r="D126" s="235"/>
      <c r="E126" s="334"/>
      <c r="F126" s="424"/>
      <c r="G126" s="335"/>
      <c r="H126" s="336"/>
      <c r="I126" s="345"/>
      <c r="J126" s="517">
        <f>SUM(J121:J125)</f>
        <v>7280</v>
      </c>
      <c r="K126" s="337"/>
      <c r="L126" s="337"/>
      <c r="M126" s="338"/>
      <c r="N126" s="337"/>
      <c r="O126" s="339"/>
      <c r="P126" s="340"/>
      <c r="Q126" s="341"/>
      <c r="R126" s="342"/>
      <c r="S126" s="343"/>
      <c r="T126" s="344"/>
      <c r="U126" s="345"/>
      <c r="V126" s="346"/>
      <c r="W126" s="347"/>
    </row>
    <row r="127" spans="2:23" ht="12.95" customHeight="1">
      <c r="B127" s="804" t="s">
        <v>558</v>
      </c>
      <c r="C127" s="260" t="s">
        <v>559</v>
      </c>
      <c r="D127" s="219">
        <f>作業体系表!AN29</f>
        <v>6.6679203686603747</v>
      </c>
      <c r="E127" s="261" t="s">
        <v>128</v>
      </c>
      <c r="F127" s="421">
        <v>962</v>
      </c>
      <c r="G127" s="221">
        <v>1</v>
      </c>
      <c r="H127" s="222">
        <v>1</v>
      </c>
      <c r="I127" s="358">
        <f t="shared" ref="I127:I131" si="28">IF(C127=0,"",D127*1/G127*H127)</f>
        <v>6.6679203686603747</v>
      </c>
      <c r="J127" s="518">
        <f t="shared" ref="J127:J131" si="29">IF(C127=0,"",ROUND(F127*I127,0))</f>
        <v>6415</v>
      </c>
      <c r="K127" s="223"/>
      <c r="L127" s="223"/>
      <c r="M127" s="224"/>
      <c r="N127" s="223"/>
      <c r="O127" s="225">
        <f>IF(K127*L127*N127=0,0,(L127*N127)/K127)</f>
        <v>0</v>
      </c>
      <c r="P127" s="226"/>
      <c r="Q127" s="227"/>
      <c r="R127" s="228"/>
      <c r="S127" s="229"/>
      <c r="T127" s="230" t="str">
        <f t="shared" ref="T127:V129" si="30">IF(Q127="","",Q127*$D127)</f>
        <v/>
      </c>
      <c r="U127" s="231" t="str">
        <f t="shared" si="30"/>
        <v/>
      </c>
      <c r="V127" s="232" t="str">
        <f t="shared" si="30"/>
        <v/>
      </c>
      <c r="W127" s="233" t="s">
        <v>560</v>
      </c>
    </row>
    <row r="128" spans="2:23" ht="12.95" customHeight="1">
      <c r="B128" s="805"/>
      <c r="C128" s="196" t="s">
        <v>561</v>
      </c>
      <c r="D128" s="177">
        <f>作業体系表!AN30</f>
        <v>1.7057894213066629</v>
      </c>
      <c r="E128" s="195" t="s">
        <v>128</v>
      </c>
      <c r="F128" s="422">
        <v>753</v>
      </c>
      <c r="G128" s="180">
        <v>1</v>
      </c>
      <c r="H128" s="181">
        <v>1</v>
      </c>
      <c r="I128" s="360">
        <f t="shared" si="28"/>
        <v>1.7057894213066629</v>
      </c>
      <c r="J128" s="519">
        <f t="shared" si="29"/>
        <v>1284</v>
      </c>
      <c r="K128" s="182"/>
      <c r="L128" s="182"/>
      <c r="M128" s="183"/>
      <c r="N128" s="182"/>
      <c r="O128" s="184">
        <f>IF(K128*L128*N128=0,0,(L128*N128)/K128)</f>
        <v>0</v>
      </c>
      <c r="P128" s="185"/>
      <c r="Q128" s="186"/>
      <c r="R128" s="187"/>
      <c r="S128" s="188"/>
      <c r="T128" s="189" t="str">
        <f t="shared" si="30"/>
        <v/>
      </c>
      <c r="U128" s="190" t="str">
        <f t="shared" si="30"/>
        <v/>
      </c>
      <c r="V128" s="191" t="str">
        <f t="shared" si="30"/>
        <v/>
      </c>
      <c r="W128" s="258" t="s">
        <v>584</v>
      </c>
    </row>
    <row r="129" spans="2:23" ht="12.95" customHeight="1">
      <c r="B129" s="805"/>
      <c r="C129" s="196"/>
      <c r="D129" s="177"/>
      <c r="E129" s="195"/>
      <c r="F129" s="422"/>
      <c r="G129" s="180"/>
      <c r="H129" s="181"/>
      <c r="I129" s="360" t="str">
        <f t="shared" si="28"/>
        <v/>
      </c>
      <c r="J129" s="519" t="str">
        <f t="shared" si="29"/>
        <v/>
      </c>
      <c r="K129" s="182"/>
      <c r="L129" s="182"/>
      <c r="M129" s="183"/>
      <c r="N129" s="182"/>
      <c r="O129" s="184">
        <f>IF(K129*L129*N129=0,0,(L129*N129)/K129)</f>
        <v>0</v>
      </c>
      <c r="P129" s="185"/>
      <c r="Q129" s="186"/>
      <c r="R129" s="187"/>
      <c r="S129" s="188"/>
      <c r="T129" s="189" t="str">
        <f t="shared" si="30"/>
        <v/>
      </c>
      <c r="U129" s="190" t="str">
        <f t="shared" si="30"/>
        <v/>
      </c>
      <c r="V129" s="191" t="str">
        <f t="shared" si="30"/>
        <v/>
      </c>
      <c r="W129" s="258"/>
    </row>
    <row r="130" spans="2:23" ht="12.95" customHeight="1">
      <c r="B130" s="805"/>
      <c r="C130" s="196"/>
      <c r="D130" s="177"/>
      <c r="E130" s="195"/>
      <c r="F130" s="422"/>
      <c r="G130" s="180"/>
      <c r="H130" s="181"/>
      <c r="I130" s="360" t="str">
        <f t="shared" si="28"/>
        <v/>
      </c>
      <c r="J130" s="519" t="str">
        <f t="shared" si="29"/>
        <v/>
      </c>
      <c r="K130" s="182"/>
      <c r="L130" s="182"/>
      <c r="M130" s="183"/>
      <c r="N130" s="182"/>
      <c r="O130" s="184"/>
      <c r="P130" s="185"/>
      <c r="Q130" s="186"/>
      <c r="R130" s="187"/>
      <c r="S130" s="188"/>
      <c r="T130" s="189"/>
      <c r="U130" s="190"/>
      <c r="V130" s="191"/>
      <c r="W130" s="258"/>
    </row>
    <row r="131" spans="2:23" ht="12.95" customHeight="1" thickBot="1">
      <c r="B131" s="805"/>
      <c r="C131" s="264"/>
      <c r="D131" s="236"/>
      <c r="E131" s="257"/>
      <c r="F131" s="423"/>
      <c r="G131" s="238"/>
      <c r="H131" s="239"/>
      <c r="I131" s="361" t="str">
        <f t="shared" si="28"/>
        <v/>
      </c>
      <c r="J131" s="520" t="str">
        <f t="shared" si="29"/>
        <v/>
      </c>
      <c r="K131" s="240"/>
      <c r="L131" s="240"/>
      <c r="M131" s="241"/>
      <c r="N131" s="240"/>
      <c r="O131" s="242">
        <f>IF(K131*L131*N131=0,0,(L131*N131)/K131)</f>
        <v>0</v>
      </c>
      <c r="P131" s="243"/>
      <c r="Q131" s="244"/>
      <c r="R131" s="245"/>
      <c r="S131" s="246"/>
      <c r="T131" s="247" t="str">
        <f>IF(Q131="","",Q131*$D131)</f>
        <v/>
      </c>
      <c r="U131" s="248" t="str">
        <f>IF(R131="","",R131*$D131)</f>
        <v/>
      </c>
      <c r="V131" s="249" t="str">
        <f>IF(S131="","",S131*$D131)</f>
        <v/>
      </c>
      <c r="W131" s="250"/>
    </row>
    <row r="132" spans="2:23" ht="12.95" customHeight="1" thickTop="1" thickBot="1">
      <c r="B132" s="806"/>
      <c r="C132" s="512" t="s">
        <v>294</v>
      </c>
      <c r="D132" s="235"/>
      <c r="E132" s="334"/>
      <c r="F132" s="424"/>
      <c r="G132" s="335"/>
      <c r="H132" s="336"/>
      <c r="I132" s="345"/>
      <c r="J132" s="517">
        <f>SUM(J127:J131)</f>
        <v>7699</v>
      </c>
      <c r="K132" s="337"/>
      <c r="L132" s="337"/>
      <c r="M132" s="338"/>
      <c r="N132" s="337"/>
      <c r="O132" s="339"/>
      <c r="P132" s="340"/>
      <c r="Q132" s="608"/>
      <c r="R132" s="342"/>
      <c r="S132" s="343"/>
      <c r="T132" s="513"/>
      <c r="U132" s="345"/>
      <c r="V132" s="346"/>
      <c r="W132" s="609"/>
    </row>
    <row r="133" spans="2:23" ht="12.95" customHeight="1">
      <c r="B133" s="801" t="s">
        <v>125</v>
      </c>
      <c r="C133" s="364" t="s">
        <v>527</v>
      </c>
      <c r="D133" s="219">
        <f>④収入!B20/25</f>
        <v>11.2</v>
      </c>
      <c r="E133" s="220" t="s">
        <v>100</v>
      </c>
      <c r="F133" s="421">
        <v>80</v>
      </c>
      <c r="G133" s="221">
        <v>1</v>
      </c>
      <c r="H133" s="222">
        <v>1</v>
      </c>
      <c r="I133" s="602">
        <f>IF(D133=0,0,D133*1/G133*H133)</f>
        <v>11.2</v>
      </c>
      <c r="J133" s="529">
        <f t="shared" ref="J133:J135" si="31">IF(D133=0,0,ROUND(F133*I133,0))</f>
        <v>896</v>
      </c>
      <c r="K133" s="223"/>
      <c r="L133" s="223"/>
      <c r="M133" s="224"/>
      <c r="N133" s="223"/>
      <c r="O133" s="225">
        <v>0</v>
      </c>
      <c r="P133" s="226"/>
      <c r="Q133" s="227"/>
      <c r="R133" s="228"/>
      <c r="S133" s="229"/>
      <c r="T133" s="230" t="s">
        <v>293</v>
      </c>
      <c r="U133" s="231" t="s">
        <v>293</v>
      </c>
      <c r="V133" s="232" t="s">
        <v>293</v>
      </c>
      <c r="W133" s="233" t="s">
        <v>540</v>
      </c>
    </row>
    <row r="134" spans="2:23" ht="12.95" customHeight="1">
      <c r="B134" s="802"/>
      <c r="C134" s="365" t="s">
        <v>288</v>
      </c>
      <c r="D134" s="177"/>
      <c r="E134" s="178"/>
      <c r="F134" s="422"/>
      <c r="G134" s="180"/>
      <c r="H134" s="181"/>
      <c r="I134" s="530">
        <f t="shared" ref="I134:I142" si="32">IF(D134=0,0,D134*1/G134*H134)</f>
        <v>0</v>
      </c>
      <c r="J134" s="530">
        <f t="shared" si="31"/>
        <v>0</v>
      </c>
      <c r="K134" s="182"/>
      <c r="L134" s="182"/>
      <c r="M134" s="183"/>
      <c r="N134" s="182"/>
      <c r="O134" s="184">
        <v>0</v>
      </c>
      <c r="P134" s="185"/>
      <c r="Q134" s="186"/>
      <c r="R134" s="187"/>
      <c r="S134" s="188"/>
      <c r="T134" s="189" t="s">
        <v>293</v>
      </c>
      <c r="U134" s="190" t="s">
        <v>293</v>
      </c>
      <c r="V134" s="191" t="s">
        <v>293</v>
      </c>
      <c r="W134" s="258"/>
    </row>
    <row r="135" spans="2:23" ht="12.95" customHeight="1">
      <c r="B135" s="802"/>
      <c r="C135" s="366" t="s">
        <v>155</v>
      </c>
      <c r="D135" s="177"/>
      <c r="E135" s="193"/>
      <c r="F135" s="422"/>
      <c r="G135" s="180"/>
      <c r="H135" s="181"/>
      <c r="I135" s="530">
        <f t="shared" si="32"/>
        <v>0</v>
      </c>
      <c r="J135" s="530">
        <f t="shared" si="31"/>
        <v>0</v>
      </c>
      <c r="K135" s="182"/>
      <c r="L135" s="182"/>
      <c r="M135" s="183"/>
      <c r="N135" s="182"/>
      <c r="O135" s="184">
        <v>0</v>
      </c>
      <c r="P135" s="185"/>
      <c r="Q135" s="186"/>
      <c r="R135" s="187"/>
      <c r="S135" s="188"/>
      <c r="T135" s="189" t="s">
        <v>293</v>
      </c>
      <c r="U135" s="190" t="s">
        <v>293</v>
      </c>
      <c r="V135" s="191" t="s">
        <v>293</v>
      </c>
      <c r="W135" s="258"/>
    </row>
    <row r="136" spans="2:23" ht="12.95" customHeight="1">
      <c r="B136" s="802"/>
      <c r="C136" s="366" t="s">
        <v>289</v>
      </c>
      <c r="D136" s="177">
        <f>④収入!D20</f>
        <v>37240</v>
      </c>
      <c r="E136" s="193"/>
      <c r="F136" s="525">
        <v>0.1706</v>
      </c>
      <c r="G136" s="180">
        <v>1</v>
      </c>
      <c r="H136" s="181">
        <v>1</v>
      </c>
      <c r="I136" s="530">
        <f t="shared" si="32"/>
        <v>37240</v>
      </c>
      <c r="J136" s="530">
        <f>IF(D136=0,0,F136*I136)</f>
        <v>6353.1440000000002</v>
      </c>
      <c r="K136" s="182"/>
      <c r="L136" s="182"/>
      <c r="M136" s="183"/>
      <c r="N136" s="182"/>
      <c r="O136" s="184">
        <v>0</v>
      </c>
      <c r="P136" s="185"/>
      <c r="Q136" s="186"/>
      <c r="R136" s="187"/>
      <c r="S136" s="188"/>
      <c r="T136" s="189" t="s">
        <v>293</v>
      </c>
      <c r="U136" s="190" t="s">
        <v>293</v>
      </c>
      <c r="V136" s="191" t="s">
        <v>293</v>
      </c>
      <c r="W136" s="258"/>
    </row>
    <row r="137" spans="2:23" ht="12.95" customHeight="1">
      <c r="B137" s="802"/>
      <c r="C137" s="366" t="s">
        <v>290</v>
      </c>
      <c r="D137" s="177"/>
      <c r="E137" s="193"/>
      <c r="F137" s="525"/>
      <c r="G137" s="180"/>
      <c r="H137" s="181"/>
      <c r="I137" s="530">
        <f t="shared" si="32"/>
        <v>0</v>
      </c>
      <c r="J137" s="530">
        <f>IF(D137=0,0,ROUND(F137*I137,0))</f>
        <v>0</v>
      </c>
      <c r="K137" s="182"/>
      <c r="L137" s="182"/>
      <c r="M137" s="183"/>
      <c r="N137" s="182"/>
      <c r="O137" s="184">
        <v>0</v>
      </c>
      <c r="P137" s="185"/>
      <c r="Q137" s="186"/>
      <c r="R137" s="187"/>
      <c r="S137" s="188"/>
      <c r="T137" s="189" t="s">
        <v>293</v>
      </c>
      <c r="U137" s="190" t="s">
        <v>293</v>
      </c>
      <c r="V137" s="191" t="s">
        <v>293</v>
      </c>
      <c r="W137" s="258"/>
    </row>
    <row r="138" spans="2:23" ht="12.95" customHeight="1">
      <c r="B138" s="802"/>
      <c r="C138" s="366" t="s">
        <v>291</v>
      </c>
      <c r="D138" s="177"/>
      <c r="E138" s="193"/>
      <c r="F138" s="525"/>
      <c r="G138" s="180"/>
      <c r="H138" s="181"/>
      <c r="I138" s="530">
        <f t="shared" si="32"/>
        <v>0</v>
      </c>
      <c r="J138" s="530">
        <f>IF(D138=0,0,ROUND(F138*I138,0))</f>
        <v>0</v>
      </c>
      <c r="K138" s="182"/>
      <c r="L138" s="182"/>
      <c r="M138" s="183"/>
      <c r="N138" s="182"/>
      <c r="O138" s="184">
        <v>0</v>
      </c>
      <c r="P138" s="185"/>
      <c r="Q138" s="186"/>
      <c r="R138" s="187"/>
      <c r="S138" s="188"/>
      <c r="T138" s="189" t="s">
        <v>293</v>
      </c>
      <c r="U138" s="190" t="s">
        <v>293</v>
      </c>
      <c r="V138" s="191" t="s">
        <v>293</v>
      </c>
      <c r="W138" s="258"/>
    </row>
    <row r="139" spans="2:23" ht="12.95" customHeight="1">
      <c r="B139" s="802"/>
      <c r="C139" s="192"/>
      <c r="D139" s="177"/>
      <c r="E139" s="178"/>
      <c r="F139" s="422"/>
      <c r="G139" s="180"/>
      <c r="H139" s="181"/>
      <c r="I139" s="530">
        <f t="shared" si="32"/>
        <v>0</v>
      </c>
      <c r="J139" s="530" t="str">
        <f t="shared" ref="J139:J142" si="33">IF(D139=0,"",ROUND(F139*I139,0))</f>
        <v/>
      </c>
      <c r="K139" s="182"/>
      <c r="L139" s="182"/>
      <c r="M139" s="183"/>
      <c r="N139" s="182"/>
      <c r="O139" s="184">
        <f t="shared" si="15"/>
        <v>0</v>
      </c>
      <c r="P139" s="185"/>
      <c r="Q139" s="186"/>
      <c r="R139" s="187"/>
      <c r="S139" s="188"/>
      <c r="T139" s="189" t="str">
        <f t="shared" ref="T139:V142" si="34">IF(Q139="","",Q139*$D139)</f>
        <v/>
      </c>
      <c r="U139" s="190" t="str">
        <f t="shared" si="34"/>
        <v/>
      </c>
      <c r="V139" s="191" t="str">
        <f t="shared" si="34"/>
        <v/>
      </c>
      <c r="W139" s="258"/>
    </row>
    <row r="140" spans="2:23" ht="12.95" customHeight="1">
      <c r="B140" s="802"/>
      <c r="C140" s="192"/>
      <c r="D140" s="177"/>
      <c r="E140" s="193"/>
      <c r="F140" s="422"/>
      <c r="G140" s="180"/>
      <c r="H140" s="181"/>
      <c r="I140" s="530">
        <f t="shared" si="32"/>
        <v>0</v>
      </c>
      <c r="J140" s="530" t="str">
        <f t="shared" si="33"/>
        <v/>
      </c>
      <c r="K140" s="182"/>
      <c r="L140" s="182"/>
      <c r="M140" s="183"/>
      <c r="N140" s="182"/>
      <c r="O140" s="184">
        <f t="shared" si="15"/>
        <v>0</v>
      </c>
      <c r="P140" s="185"/>
      <c r="Q140" s="186"/>
      <c r="R140" s="187"/>
      <c r="S140" s="188"/>
      <c r="T140" s="189" t="str">
        <f t="shared" si="34"/>
        <v/>
      </c>
      <c r="U140" s="190" t="str">
        <f t="shared" si="34"/>
        <v/>
      </c>
      <c r="V140" s="191" t="str">
        <f t="shared" si="34"/>
        <v/>
      </c>
      <c r="W140" s="258"/>
    </row>
    <row r="141" spans="2:23" ht="12.95" customHeight="1">
      <c r="B141" s="802"/>
      <c r="C141" s="192"/>
      <c r="D141" s="177"/>
      <c r="E141" s="193"/>
      <c r="F141" s="422"/>
      <c r="G141" s="180"/>
      <c r="H141" s="181"/>
      <c r="I141" s="530">
        <f t="shared" si="32"/>
        <v>0</v>
      </c>
      <c r="J141" s="530" t="str">
        <f t="shared" si="33"/>
        <v/>
      </c>
      <c r="K141" s="182"/>
      <c r="L141" s="182"/>
      <c r="M141" s="183"/>
      <c r="N141" s="182"/>
      <c r="O141" s="184">
        <f t="shared" si="15"/>
        <v>0</v>
      </c>
      <c r="P141" s="185"/>
      <c r="Q141" s="186"/>
      <c r="R141" s="187"/>
      <c r="S141" s="188"/>
      <c r="T141" s="189" t="str">
        <f t="shared" si="34"/>
        <v/>
      </c>
      <c r="U141" s="190" t="str">
        <f t="shared" si="34"/>
        <v/>
      </c>
      <c r="V141" s="191" t="str">
        <f t="shared" si="34"/>
        <v/>
      </c>
      <c r="W141" s="258"/>
    </row>
    <row r="142" spans="2:23" ht="12.95" customHeight="1" thickBot="1">
      <c r="B142" s="802"/>
      <c r="C142" s="267"/>
      <c r="D142" s="236"/>
      <c r="E142" s="268"/>
      <c r="F142" s="423"/>
      <c r="G142" s="238"/>
      <c r="H142" s="239"/>
      <c r="I142" s="531">
        <f t="shared" si="32"/>
        <v>0</v>
      </c>
      <c r="J142" s="531" t="str">
        <f t="shared" si="33"/>
        <v/>
      </c>
      <c r="K142" s="240"/>
      <c r="L142" s="240"/>
      <c r="M142" s="241"/>
      <c r="N142" s="240"/>
      <c r="O142" s="242">
        <f t="shared" si="15"/>
        <v>0</v>
      </c>
      <c r="P142" s="243"/>
      <c r="Q142" s="244"/>
      <c r="R142" s="245"/>
      <c r="S142" s="246"/>
      <c r="T142" s="247" t="str">
        <f t="shared" si="34"/>
        <v/>
      </c>
      <c r="U142" s="248" t="str">
        <f t="shared" si="34"/>
        <v/>
      </c>
      <c r="V142" s="249" t="str">
        <f t="shared" si="34"/>
        <v/>
      </c>
      <c r="W142" s="250"/>
    </row>
    <row r="143" spans="2:23" ht="12.95" customHeight="1" thickTop="1" thickBot="1">
      <c r="B143" s="803"/>
      <c r="C143" s="333" t="s">
        <v>294</v>
      </c>
      <c r="D143" s="235"/>
      <c r="E143" s="334"/>
      <c r="F143" s="424"/>
      <c r="G143" s="335"/>
      <c r="H143" s="336"/>
      <c r="I143" s="345"/>
      <c r="J143" s="517">
        <f>SUM(J133:J142)</f>
        <v>7249.1440000000002</v>
      </c>
      <c r="K143" s="337"/>
      <c r="L143" s="337"/>
      <c r="M143" s="338"/>
      <c r="N143" s="337"/>
      <c r="O143" s="339"/>
      <c r="P143" s="340"/>
      <c r="Q143" s="341"/>
      <c r="R143" s="342"/>
      <c r="S143" s="343"/>
      <c r="T143" s="344"/>
      <c r="U143" s="345"/>
      <c r="V143" s="346"/>
      <c r="W143" s="347"/>
    </row>
    <row r="144" spans="2:23" ht="12.95" customHeight="1">
      <c r="B144" s="812" t="s">
        <v>427</v>
      </c>
      <c r="C144" s="260" t="s">
        <v>542</v>
      </c>
      <c r="D144" s="219">
        <v>1</v>
      </c>
      <c r="E144" s="261" t="s">
        <v>110</v>
      </c>
      <c r="F144" s="421">
        <v>9500</v>
      </c>
      <c r="G144" s="221">
        <v>1</v>
      </c>
      <c r="H144" s="222">
        <v>0.5</v>
      </c>
      <c r="I144" s="358">
        <f t="shared" ref="I144:I147" si="35">IF(C144=0,"",D144*1/G144*H144)</f>
        <v>0.5</v>
      </c>
      <c r="J144" s="518">
        <f t="shared" ref="J144:J147" si="36">IF(C144=0,"",ROUND(F144*I144,0))</f>
        <v>4750</v>
      </c>
      <c r="K144" s="223"/>
      <c r="L144" s="223"/>
      <c r="M144" s="224"/>
      <c r="N144" s="223"/>
      <c r="O144" s="225">
        <f>IF(K144*L144*N144=0,0,(L144*N144)/K144)</f>
        <v>0</v>
      </c>
      <c r="P144" s="226"/>
      <c r="Q144" s="227"/>
      <c r="R144" s="228"/>
      <c r="S144" s="229"/>
      <c r="T144" s="230" t="str">
        <f t="shared" ref="T144:T145" si="37">IF(Q144="","",Q144*$D144)</f>
        <v/>
      </c>
      <c r="U144" s="231" t="str">
        <f t="shared" ref="U144:U145" si="38">IF(R144="","",R144*$D144)</f>
        <v/>
      </c>
      <c r="V144" s="232" t="str">
        <f t="shared" ref="V144:V145" si="39">IF(S144="","",S144*$D144)</f>
        <v/>
      </c>
      <c r="W144" s="233" t="s">
        <v>540</v>
      </c>
    </row>
    <row r="145" spans="2:23" ht="12.95" customHeight="1">
      <c r="B145" s="802"/>
      <c r="C145" s="196"/>
      <c r="D145" s="177"/>
      <c r="E145" s="195"/>
      <c r="F145" s="422"/>
      <c r="G145" s="180"/>
      <c r="H145" s="181"/>
      <c r="I145" s="360" t="str">
        <f t="shared" si="35"/>
        <v/>
      </c>
      <c r="J145" s="519" t="str">
        <f t="shared" si="36"/>
        <v/>
      </c>
      <c r="K145" s="182"/>
      <c r="L145" s="182"/>
      <c r="M145" s="183"/>
      <c r="N145" s="182"/>
      <c r="O145" s="184">
        <f>IF(K145*L145*N145=0,0,(L145*N145)/K145)</f>
        <v>0</v>
      </c>
      <c r="P145" s="185"/>
      <c r="Q145" s="186"/>
      <c r="R145" s="187"/>
      <c r="S145" s="188"/>
      <c r="T145" s="189" t="str">
        <f t="shared" si="37"/>
        <v/>
      </c>
      <c r="U145" s="190" t="str">
        <f t="shared" si="38"/>
        <v/>
      </c>
      <c r="V145" s="191" t="str">
        <f t="shared" si="39"/>
        <v/>
      </c>
      <c r="W145" s="258"/>
    </row>
    <row r="146" spans="2:23" ht="12.95" customHeight="1">
      <c r="B146" s="802"/>
      <c r="C146" s="196"/>
      <c r="D146" s="177"/>
      <c r="E146" s="195"/>
      <c r="F146" s="422"/>
      <c r="G146" s="180"/>
      <c r="H146" s="181"/>
      <c r="I146" s="360" t="str">
        <f t="shared" si="35"/>
        <v/>
      </c>
      <c r="J146" s="519" t="str">
        <f t="shared" si="36"/>
        <v/>
      </c>
      <c r="K146" s="182"/>
      <c r="L146" s="182"/>
      <c r="M146" s="183"/>
      <c r="N146" s="182"/>
      <c r="O146" s="184"/>
      <c r="P146" s="185"/>
      <c r="Q146" s="186"/>
      <c r="R146" s="187"/>
      <c r="S146" s="188"/>
      <c r="T146" s="189"/>
      <c r="U146" s="190"/>
      <c r="V146" s="191"/>
      <c r="W146" s="258"/>
    </row>
    <row r="147" spans="2:23" ht="12.95" customHeight="1" thickBot="1">
      <c r="B147" s="802"/>
      <c r="C147" s="264"/>
      <c r="D147" s="236"/>
      <c r="E147" s="257"/>
      <c r="F147" s="423"/>
      <c r="G147" s="238"/>
      <c r="H147" s="239"/>
      <c r="I147" s="361" t="str">
        <f t="shared" si="35"/>
        <v/>
      </c>
      <c r="J147" s="520" t="str">
        <f t="shared" si="36"/>
        <v/>
      </c>
      <c r="K147" s="240"/>
      <c r="L147" s="240"/>
      <c r="M147" s="241"/>
      <c r="N147" s="240"/>
      <c r="O147" s="242">
        <f>IF(K147*L147*N147=0,0,(L147*N147)/K147)</f>
        <v>0</v>
      </c>
      <c r="P147" s="243"/>
      <c r="Q147" s="244"/>
      <c r="R147" s="245"/>
      <c r="S147" s="246"/>
      <c r="T147" s="247" t="str">
        <f>IF(Q147="","",Q147*$D147)</f>
        <v/>
      </c>
      <c r="U147" s="248" t="str">
        <f>IF(R147="","",R147*$D147)</f>
        <v/>
      </c>
      <c r="V147" s="249" t="str">
        <f>IF(S147="","",S147*$D147)</f>
        <v/>
      </c>
      <c r="W147" s="250"/>
    </row>
    <row r="148" spans="2:23" ht="12.95" customHeight="1" thickTop="1" thickBot="1">
      <c r="B148" s="803"/>
      <c r="C148" s="333" t="s">
        <v>294</v>
      </c>
      <c r="D148" s="235"/>
      <c r="E148" s="334"/>
      <c r="F148" s="424"/>
      <c r="G148" s="335"/>
      <c r="H148" s="336"/>
      <c r="I148" s="345"/>
      <c r="J148" s="517">
        <f>SUM(J144:J147)</f>
        <v>4750</v>
      </c>
      <c r="K148" s="337"/>
      <c r="L148" s="337"/>
      <c r="M148" s="338"/>
      <c r="N148" s="337"/>
      <c r="O148" s="339"/>
      <c r="P148" s="340"/>
      <c r="Q148" s="341"/>
      <c r="R148" s="342"/>
      <c r="S148" s="343"/>
      <c r="T148" s="344"/>
      <c r="U148" s="345"/>
      <c r="V148" s="346"/>
      <c r="W148" s="347"/>
    </row>
    <row r="149" spans="2:23" ht="12.95" customHeight="1">
      <c r="B149" s="804" t="s">
        <v>430</v>
      </c>
      <c r="C149" s="260"/>
      <c r="D149" s="219"/>
      <c r="E149" s="261"/>
      <c r="F149" s="421"/>
      <c r="G149" s="221"/>
      <c r="H149" s="222"/>
      <c r="I149" s="358" t="str">
        <f t="shared" ref="I149:I152" si="40">IF(C149=0,"",D149*1/G149*H149)</f>
        <v/>
      </c>
      <c r="J149" s="518" t="str">
        <f t="shared" ref="J149:J152" si="41">IF(C149=0,"",ROUND(F149*I149,0))</f>
        <v/>
      </c>
      <c r="K149" s="223"/>
      <c r="L149" s="223"/>
      <c r="M149" s="224"/>
      <c r="N149" s="223"/>
      <c r="O149" s="225">
        <f>IF(K149*L149*N149=0,0,(L149*N149)/K149)</f>
        <v>0</v>
      </c>
      <c r="P149" s="226"/>
      <c r="Q149" s="227"/>
      <c r="R149" s="228"/>
      <c r="S149" s="229"/>
      <c r="T149" s="230" t="str">
        <f t="shared" ref="T149:T150" si="42">IF(Q149="","",Q149*$D149)</f>
        <v/>
      </c>
      <c r="U149" s="231" t="str">
        <f t="shared" ref="U149:U150" si="43">IF(R149="","",R149*$D149)</f>
        <v/>
      </c>
      <c r="V149" s="232" t="str">
        <f t="shared" ref="V149:V150" si="44">IF(S149="","",S149*$D149)</f>
        <v/>
      </c>
      <c r="W149" s="233"/>
    </row>
    <row r="150" spans="2:23" ht="12.95" customHeight="1">
      <c r="B150" s="805"/>
      <c r="C150" s="196"/>
      <c r="D150" s="177"/>
      <c r="E150" s="195"/>
      <c r="F150" s="422"/>
      <c r="G150" s="180"/>
      <c r="H150" s="181"/>
      <c r="I150" s="360" t="str">
        <f t="shared" si="40"/>
        <v/>
      </c>
      <c r="J150" s="519" t="str">
        <f t="shared" si="41"/>
        <v/>
      </c>
      <c r="K150" s="182"/>
      <c r="L150" s="182"/>
      <c r="M150" s="183"/>
      <c r="N150" s="182"/>
      <c r="O150" s="184">
        <f>IF(K150*L150*N150=0,0,(L150*N150)/K150)</f>
        <v>0</v>
      </c>
      <c r="P150" s="185"/>
      <c r="Q150" s="186"/>
      <c r="R150" s="187"/>
      <c r="S150" s="188"/>
      <c r="T150" s="189" t="str">
        <f t="shared" si="42"/>
        <v/>
      </c>
      <c r="U150" s="190" t="str">
        <f t="shared" si="43"/>
        <v/>
      </c>
      <c r="V150" s="191" t="str">
        <f t="shared" si="44"/>
        <v/>
      </c>
      <c r="W150" s="258"/>
    </row>
    <row r="151" spans="2:23" ht="12.95" customHeight="1">
      <c r="B151" s="805"/>
      <c r="C151" s="196"/>
      <c r="D151" s="177"/>
      <c r="E151" s="195"/>
      <c r="F151" s="422"/>
      <c r="G151" s="180"/>
      <c r="H151" s="181"/>
      <c r="I151" s="360" t="str">
        <f t="shared" si="40"/>
        <v/>
      </c>
      <c r="J151" s="519" t="str">
        <f t="shared" si="41"/>
        <v/>
      </c>
      <c r="K151" s="182"/>
      <c r="L151" s="182"/>
      <c r="M151" s="183"/>
      <c r="N151" s="182"/>
      <c r="O151" s="184"/>
      <c r="P151" s="185"/>
      <c r="Q151" s="186"/>
      <c r="R151" s="187"/>
      <c r="S151" s="188"/>
      <c r="T151" s="189"/>
      <c r="U151" s="190"/>
      <c r="V151" s="191"/>
      <c r="W151" s="258"/>
    </row>
    <row r="152" spans="2:23" ht="12.95" customHeight="1" thickBot="1">
      <c r="B152" s="805"/>
      <c r="C152" s="264"/>
      <c r="D152" s="236"/>
      <c r="E152" s="257"/>
      <c r="F152" s="423"/>
      <c r="G152" s="238"/>
      <c r="H152" s="239"/>
      <c r="I152" s="361" t="str">
        <f t="shared" si="40"/>
        <v/>
      </c>
      <c r="J152" s="520" t="str">
        <f t="shared" si="41"/>
        <v/>
      </c>
      <c r="K152" s="240"/>
      <c r="L152" s="240"/>
      <c r="M152" s="241"/>
      <c r="N152" s="240"/>
      <c r="O152" s="242">
        <f>IF(K152*L152*N152=0,0,(L152*N152)/K152)</f>
        <v>0</v>
      </c>
      <c r="P152" s="243"/>
      <c r="Q152" s="244"/>
      <c r="R152" s="245"/>
      <c r="S152" s="246"/>
      <c r="T152" s="247" t="str">
        <f>IF(Q152="","",Q152*$D152)</f>
        <v/>
      </c>
      <c r="U152" s="248" t="str">
        <f>IF(R152="","",R152*$D152)</f>
        <v/>
      </c>
      <c r="V152" s="249" t="str">
        <f>IF(S152="","",S152*$D152)</f>
        <v/>
      </c>
      <c r="W152" s="250"/>
    </row>
    <row r="153" spans="2:23" ht="12.95" customHeight="1" thickTop="1" thickBot="1">
      <c r="B153" s="806"/>
      <c r="C153" s="333" t="s">
        <v>294</v>
      </c>
      <c r="D153" s="235"/>
      <c r="E153" s="334"/>
      <c r="F153" s="424"/>
      <c r="G153" s="335"/>
      <c r="H153" s="336"/>
      <c r="I153" s="345"/>
      <c r="J153" s="517">
        <f>SUM(J149:J152)</f>
        <v>0</v>
      </c>
      <c r="K153" s="337"/>
      <c r="L153" s="337"/>
      <c r="M153" s="338"/>
      <c r="N153" s="337"/>
      <c r="O153" s="339"/>
      <c r="P153" s="340"/>
      <c r="Q153" s="341"/>
      <c r="R153" s="342"/>
      <c r="S153" s="343"/>
      <c r="T153" s="344"/>
      <c r="U153" s="345"/>
      <c r="V153" s="346"/>
      <c r="W153" s="347"/>
    </row>
    <row r="154" spans="2:23" ht="12.95" customHeight="1">
      <c r="B154" s="804" t="s">
        <v>432</v>
      </c>
      <c r="C154" s="260" t="s">
        <v>541</v>
      </c>
      <c r="D154" s="219">
        <v>1</v>
      </c>
      <c r="E154" s="261" t="s">
        <v>114</v>
      </c>
      <c r="F154" s="421">
        <v>1300</v>
      </c>
      <c r="G154" s="221">
        <v>1</v>
      </c>
      <c r="H154" s="222">
        <v>1</v>
      </c>
      <c r="I154" s="358">
        <f t="shared" ref="I154:I157" si="45">IF(C154=0,"",D154*1/G154*H154)</f>
        <v>1</v>
      </c>
      <c r="J154" s="518">
        <f t="shared" ref="J154:J157" si="46">IF(C154=0,"",ROUND(F154*I154,0))</f>
        <v>1300</v>
      </c>
      <c r="K154" s="223"/>
      <c r="L154" s="223"/>
      <c r="M154" s="224"/>
      <c r="N154" s="223"/>
      <c r="O154" s="225">
        <f>IF(K154*L154*N154=0,0,(L154*N154)/K154)</f>
        <v>0</v>
      </c>
      <c r="P154" s="226"/>
      <c r="Q154" s="227"/>
      <c r="R154" s="228"/>
      <c r="S154" s="229"/>
      <c r="T154" s="230" t="str">
        <f t="shared" ref="T154:T155" si="47">IF(Q154="","",Q154*$D154)</f>
        <v/>
      </c>
      <c r="U154" s="231" t="str">
        <f t="shared" ref="U154:U155" si="48">IF(R154="","",R154*$D154)</f>
        <v/>
      </c>
      <c r="V154" s="232" t="str">
        <f t="shared" ref="V154:V155" si="49">IF(S154="","",S154*$D154)</f>
        <v/>
      </c>
      <c r="W154" s="233" t="s">
        <v>540</v>
      </c>
    </row>
    <row r="155" spans="2:23" ht="12.95" customHeight="1">
      <c r="B155" s="805"/>
      <c r="C155" s="196"/>
      <c r="D155" s="177"/>
      <c r="E155" s="195"/>
      <c r="F155" s="422"/>
      <c r="G155" s="180"/>
      <c r="H155" s="181"/>
      <c r="I155" s="360" t="str">
        <f t="shared" si="45"/>
        <v/>
      </c>
      <c r="J155" s="519" t="str">
        <f t="shared" si="46"/>
        <v/>
      </c>
      <c r="K155" s="182"/>
      <c r="L155" s="182"/>
      <c r="M155" s="183"/>
      <c r="N155" s="182"/>
      <c r="O155" s="184">
        <f>IF(K155*L155*N155=0,0,(L155*N155)/K155)</f>
        <v>0</v>
      </c>
      <c r="P155" s="185"/>
      <c r="Q155" s="186"/>
      <c r="R155" s="187"/>
      <c r="S155" s="188"/>
      <c r="T155" s="189" t="str">
        <f t="shared" si="47"/>
        <v/>
      </c>
      <c r="U155" s="190" t="str">
        <f t="shared" si="48"/>
        <v/>
      </c>
      <c r="V155" s="191" t="str">
        <f t="shared" si="49"/>
        <v/>
      </c>
      <c r="W155" s="258"/>
    </row>
    <row r="156" spans="2:23" ht="12.95" customHeight="1">
      <c r="B156" s="805"/>
      <c r="C156" s="196"/>
      <c r="D156" s="177"/>
      <c r="E156" s="195"/>
      <c r="F156" s="422"/>
      <c r="G156" s="180"/>
      <c r="H156" s="181"/>
      <c r="I156" s="360" t="str">
        <f t="shared" si="45"/>
        <v/>
      </c>
      <c r="J156" s="519" t="str">
        <f t="shared" si="46"/>
        <v/>
      </c>
      <c r="K156" s="182"/>
      <c r="L156" s="182"/>
      <c r="M156" s="183"/>
      <c r="N156" s="182"/>
      <c r="O156" s="184"/>
      <c r="P156" s="185"/>
      <c r="Q156" s="186"/>
      <c r="R156" s="187"/>
      <c r="S156" s="188"/>
      <c r="T156" s="189"/>
      <c r="U156" s="190"/>
      <c r="V156" s="191"/>
      <c r="W156" s="258"/>
    </row>
    <row r="157" spans="2:23" ht="12.95" customHeight="1" thickBot="1">
      <c r="B157" s="805"/>
      <c r="C157" s="264"/>
      <c r="D157" s="236"/>
      <c r="E157" s="257"/>
      <c r="F157" s="423"/>
      <c r="G157" s="238"/>
      <c r="H157" s="239"/>
      <c r="I157" s="361" t="str">
        <f t="shared" si="45"/>
        <v/>
      </c>
      <c r="J157" s="520" t="str">
        <f t="shared" si="46"/>
        <v/>
      </c>
      <c r="K157" s="240"/>
      <c r="L157" s="240"/>
      <c r="M157" s="241"/>
      <c r="N157" s="240"/>
      <c r="O157" s="242">
        <f>IF(K157*L157*N157=0,0,(L157*N157)/K157)</f>
        <v>0</v>
      </c>
      <c r="P157" s="243"/>
      <c r="Q157" s="244"/>
      <c r="R157" s="245"/>
      <c r="S157" s="246"/>
      <c r="T157" s="247" t="str">
        <f>IF(Q157="","",Q157*$D157)</f>
        <v/>
      </c>
      <c r="U157" s="248" t="str">
        <f>IF(R157="","",R157*$D157)</f>
        <v/>
      </c>
      <c r="V157" s="249" t="str">
        <f>IF(S157="","",S157*$D157)</f>
        <v/>
      </c>
      <c r="W157" s="250"/>
    </row>
    <row r="158" spans="2:23" ht="12.95" customHeight="1" thickTop="1" thickBot="1">
      <c r="B158" s="806"/>
      <c r="C158" s="333" t="s">
        <v>294</v>
      </c>
      <c r="D158" s="235"/>
      <c r="E158" s="334"/>
      <c r="F158" s="424"/>
      <c r="G158" s="335"/>
      <c r="H158" s="336"/>
      <c r="I158" s="345"/>
      <c r="J158" s="517">
        <f>SUM(J154:J157)</f>
        <v>1300</v>
      </c>
      <c r="K158" s="337"/>
      <c r="L158" s="337"/>
      <c r="M158" s="338"/>
      <c r="N158" s="337"/>
      <c r="O158" s="339"/>
      <c r="P158" s="340"/>
      <c r="Q158" s="341"/>
      <c r="R158" s="342"/>
      <c r="S158" s="343"/>
      <c r="T158" s="344"/>
      <c r="U158" s="345"/>
      <c r="V158" s="346"/>
      <c r="W158" s="347"/>
    </row>
    <row r="159" spans="2:23" ht="12.95" customHeight="1">
      <c r="B159" s="804" t="s">
        <v>434</v>
      </c>
      <c r="C159" s="260"/>
      <c r="D159" s="219"/>
      <c r="E159" s="261"/>
      <c r="F159" s="421"/>
      <c r="G159" s="221"/>
      <c r="H159" s="222"/>
      <c r="I159" s="358" t="str">
        <f t="shared" ref="I159:I162" si="50">IF(C159=0,"",D159*1/G159*H159)</f>
        <v/>
      </c>
      <c r="J159" s="518" t="str">
        <f t="shared" ref="J159:J162" si="51">IF(C159=0,"",ROUND(F159*I159,0))</f>
        <v/>
      </c>
      <c r="K159" s="223"/>
      <c r="L159" s="223"/>
      <c r="M159" s="224"/>
      <c r="N159" s="223"/>
      <c r="O159" s="225">
        <f>IF(K159*L159*N159=0,0,(L159*N159)/K159)</f>
        <v>0</v>
      </c>
      <c r="P159" s="226"/>
      <c r="Q159" s="227"/>
      <c r="R159" s="228"/>
      <c r="S159" s="229"/>
      <c r="T159" s="230" t="str">
        <f t="shared" ref="T159:T160" si="52">IF(Q159="","",Q159*$D159)</f>
        <v/>
      </c>
      <c r="U159" s="231" t="str">
        <f t="shared" ref="U159:U160" si="53">IF(R159="","",R159*$D159)</f>
        <v/>
      </c>
      <c r="V159" s="232" t="str">
        <f t="shared" ref="V159:V160" si="54">IF(S159="","",S159*$D159)</f>
        <v/>
      </c>
      <c r="W159" s="233"/>
    </row>
    <row r="160" spans="2:23" ht="12.95" customHeight="1">
      <c r="B160" s="805"/>
      <c r="C160" s="196"/>
      <c r="D160" s="177"/>
      <c r="E160" s="195"/>
      <c r="F160" s="422"/>
      <c r="G160" s="180"/>
      <c r="H160" s="181"/>
      <c r="I160" s="360" t="str">
        <f t="shared" si="50"/>
        <v/>
      </c>
      <c r="J160" s="519" t="str">
        <f t="shared" si="51"/>
        <v/>
      </c>
      <c r="K160" s="182"/>
      <c r="L160" s="182"/>
      <c r="M160" s="183"/>
      <c r="N160" s="182"/>
      <c r="O160" s="184">
        <f>IF(K160*L160*N160=0,0,(L160*N160)/K160)</f>
        <v>0</v>
      </c>
      <c r="P160" s="185"/>
      <c r="Q160" s="186"/>
      <c r="R160" s="187"/>
      <c r="S160" s="188"/>
      <c r="T160" s="189" t="str">
        <f t="shared" si="52"/>
        <v/>
      </c>
      <c r="U160" s="190" t="str">
        <f t="shared" si="53"/>
        <v/>
      </c>
      <c r="V160" s="191" t="str">
        <f t="shared" si="54"/>
        <v/>
      </c>
      <c r="W160" s="258"/>
    </row>
    <row r="161" spans="2:23" ht="12.95" customHeight="1">
      <c r="B161" s="805"/>
      <c r="C161" s="196"/>
      <c r="D161" s="177"/>
      <c r="E161" s="195"/>
      <c r="F161" s="422"/>
      <c r="G161" s="180"/>
      <c r="H161" s="181"/>
      <c r="I161" s="360" t="str">
        <f t="shared" si="50"/>
        <v/>
      </c>
      <c r="J161" s="519" t="str">
        <f t="shared" si="51"/>
        <v/>
      </c>
      <c r="K161" s="182"/>
      <c r="L161" s="182"/>
      <c r="M161" s="183"/>
      <c r="N161" s="182"/>
      <c r="O161" s="184"/>
      <c r="P161" s="185"/>
      <c r="Q161" s="186"/>
      <c r="R161" s="187"/>
      <c r="S161" s="188"/>
      <c r="T161" s="189"/>
      <c r="U161" s="190"/>
      <c r="V161" s="191"/>
      <c r="W161" s="258"/>
    </row>
    <row r="162" spans="2:23" ht="12.95" customHeight="1" thickBot="1">
      <c r="B162" s="805"/>
      <c r="C162" s="264"/>
      <c r="D162" s="236"/>
      <c r="E162" s="257"/>
      <c r="F162" s="423"/>
      <c r="G162" s="238"/>
      <c r="H162" s="239"/>
      <c r="I162" s="361" t="str">
        <f t="shared" si="50"/>
        <v/>
      </c>
      <c r="J162" s="520" t="str">
        <f t="shared" si="51"/>
        <v/>
      </c>
      <c r="K162" s="240"/>
      <c r="L162" s="240"/>
      <c r="M162" s="241"/>
      <c r="N162" s="240"/>
      <c r="O162" s="242">
        <f>IF(K162*L162*N162=0,0,(L162*N162)/K162)</f>
        <v>0</v>
      </c>
      <c r="P162" s="243"/>
      <c r="Q162" s="244"/>
      <c r="R162" s="245"/>
      <c r="S162" s="246"/>
      <c r="T162" s="247" t="str">
        <f>IF(Q162="","",Q162*$D162)</f>
        <v/>
      </c>
      <c r="U162" s="248" t="str">
        <f>IF(R162="","",R162*$D162)</f>
        <v/>
      </c>
      <c r="V162" s="249" t="str">
        <f>IF(S162="","",S162*$D162)</f>
        <v/>
      </c>
      <c r="W162" s="250"/>
    </row>
    <row r="163" spans="2:23" ht="12.95" customHeight="1" thickTop="1" thickBot="1">
      <c r="B163" s="806"/>
      <c r="C163" s="333" t="s">
        <v>294</v>
      </c>
      <c r="D163" s="235"/>
      <c r="E163" s="334"/>
      <c r="F163" s="424"/>
      <c r="G163" s="335"/>
      <c r="H163" s="336"/>
      <c r="I163" s="345"/>
      <c r="J163" s="517">
        <f>SUM(J159:J162)</f>
        <v>0</v>
      </c>
      <c r="K163" s="337"/>
      <c r="L163" s="337"/>
      <c r="M163" s="338"/>
      <c r="N163" s="337"/>
      <c r="O163" s="339"/>
      <c r="P163" s="340"/>
      <c r="Q163" s="341"/>
      <c r="R163" s="342"/>
      <c r="S163" s="343"/>
      <c r="T163" s="344"/>
      <c r="U163" s="345"/>
      <c r="V163" s="346"/>
      <c r="W163" s="347"/>
    </row>
    <row r="164" spans="2:23" ht="12.95" customHeight="1">
      <c r="B164" s="807" t="s">
        <v>435</v>
      </c>
      <c r="C164" s="251" t="s">
        <v>192</v>
      </c>
      <c r="D164" s="219"/>
      <c r="E164" s="220"/>
      <c r="F164" s="421"/>
      <c r="G164" s="221"/>
      <c r="H164" s="222"/>
      <c r="I164" s="358" t="str">
        <f>IF(D164=0,"",D164*1/G164*H164)</f>
        <v/>
      </c>
      <c r="J164" s="518" t="str">
        <f t="shared" ref="J164:J174" si="55">IF(D164=0,"",ROUND(F164*I164,0))</f>
        <v/>
      </c>
      <c r="K164" s="223"/>
      <c r="L164" s="223"/>
      <c r="M164" s="224"/>
      <c r="N164" s="223"/>
      <c r="O164" s="225"/>
      <c r="P164" s="226"/>
      <c r="Q164" s="227"/>
      <c r="R164" s="228"/>
      <c r="S164" s="229"/>
      <c r="T164" s="230"/>
      <c r="U164" s="231"/>
      <c r="V164" s="232"/>
      <c r="W164" s="233"/>
    </row>
    <row r="165" spans="2:23" ht="12.95" customHeight="1">
      <c r="B165" s="808"/>
      <c r="C165" s="252" t="s">
        <v>124</v>
      </c>
      <c r="D165" s="160"/>
      <c r="E165" s="161"/>
      <c r="F165" s="425"/>
      <c r="G165" s="162"/>
      <c r="H165" s="163"/>
      <c r="I165" s="521" t="str">
        <f t="shared" ref="I165:I174" si="56">IF(D165=0,"",D165*1/G165*H165)</f>
        <v/>
      </c>
      <c r="J165" s="522" t="str">
        <f t="shared" si="55"/>
        <v/>
      </c>
      <c r="K165" s="164"/>
      <c r="L165" s="164"/>
      <c r="M165" s="165"/>
      <c r="N165" s="164"/>
      <c r="O165" s="166"/>
      <c r="P165" s="167"/>
      <c r="Q165" s="168"/>
      <c r="R165" s="169"/>
      <c r="S165" s="170"/>
      <c r="T165" s="171"/>
      <c r="U165" s="172"/>
      <c r="V165" s="173"/>
      <c r="W165" s="234"/>
    </row>
    <row r="166" spans="2:23" ht="12.95" customHeight="1">
      <c r="B166" s="808"/>
      <c r="C166" s="253" t="s">
        <v>193</v>
      </c>
      <c r="D166" s="160"/>
      <c r="E166" s="161"/>
      <c r="F166" s="425"/>
      <c r="G166" s="162"/>
      <c r="H166" s="163"/>
      <c r="I166" s="521" t="str">
        <f t="shared" si="56"/>
        <v/>
      </c>
      <c r="J166" s="522" t="str">
        <f t="shared" si="55"/>
        <v/>
      </c>
      <c r="K166" s="164"/>
      <c r="L166" s="164"/>
      <c r="M166" s="165"/>
      <c r="N166" s="164"/>
      <c r="O166" s="166"/>
      <c r="P166" s="167"/>
      <c r="Q166" s="168"/>
      <c r="R166" s="169"/>
      <c r="S166" s="170"/>
      <c r="T166" s="171"/>
      <c r="U166" s="172"/>
      <c r="V166" s="173"/>
      <c r="W166" s="234"/>
    </row>
    <row r="167" spans="2:23" ht="12.95" customHeight="1">
      <c r="B167" s="808"/>
      <c r="C167" s="254" t="s">
        <v>194</v>
      </c>
      <c r="D167" s="160"/>
      <c r="E167" s="161"/>
      <c r="F167" s="425"/>
      <c r="G167" s="162"/>
      <c r="H167" s="163"/>
      <c r="I167" s="521" t="str">
        <f t="shared" si="56"/>
        <v/>
      </c>
      <c r="J167" s="522" t="str">
        <f t="shared" si="55"/>
        <v/>
      </c>
      <c r="K167" s="164"/>
      <c r="L167" s="164"/>
      <c r="M167" s="165"/>
      <c r="N167" s="164"/>
      <c r="O167" s="166"/>
      <c r="P167" s="167"/>
      <c r="Q167" s="168"/>
      <c r="R167" s="169"/>
      <c r="S167" s="170"/>
      <c r="T167" s="171"/>
      <c r="U167" s="172"/>
      <c r="V167" s="173"/>
      <c r="W167" s="234"/>
    </row>
    <row r="168" spans="2:23" ht="12.95" customHeight="1">
      <c r="B168" s="808"/>
      <c r="C168" s="254"/>
      <c r="D168" s="160"/>
      <c r="E168" s="161"/>
      <c r="F168" s="425"/>
      <c r="G168" s="162"/>
      <c r="H168" s="163"/>
      <c r="I168" s="521" t="str">
        <f t="shared" si="56"/>
        <v/>
      </c>
      <c r="J168" s="522" t="str">
        <f t="shared" si="55"/>
        <v/>
      </c>
      <c r="K168" s="164"/>
      <c r="L168" s="164"/>
      <c r="M168" s="165"/>
      <c r="N168" s="164"/>
      <c r="O168" s="166"/>
      <c r="P168" s="167"/>
      <c r="Q168" s="168"/>
      <c r="R168" s="169"/>
      <c r="S168" s="170"/>
      <c r="T168" s="171"/>
      <c r="U168" s="172"/>
      <c r="V168" s="173"/>
      <c r="W168" s="234"/>
    </row>
    <row r="169" spans="2:23" ht="12.95" customHeight="1">
      <c r="B169" s="808"/>
      <c r="C169" s="254"/>
      <c r="D169" s="160"/>
      <c r="E169" s="161"/>
      <c r="F169" s="425"/>
      <c r="G169" s="162"/>
      <c r="H169" s="163"/>
      <c r="I169" s="521" t="str">
        <f t="shared" si="56"/>
        <v/>
      </c>
      <c r="J169" s="522" t="str">
        <f t="shared" si="55"/>
        <v/>
      </c>
      <c r="K169" s="164"/>
      <c r="L169" s="164"/>
      <c r="M169" s="165"/>
      <c r="N169" s="164"/>
      <c r="O169" s="166"/>
      <c r="P169" s="167"/>
      <c r="Q169" s="168"/>
      <c r="R169" s="169"/>
      <c r="S169" s="170"/>
      <c r="T169" s="171"/>
      <c r="U169" s="172"/>
      <c r="V169" s="173"/>
      <c r="W169" s="234"/>
    </row>
    <row r="170" spans="2:23" ht="12.95" customHeight="1">
      <c r="B170" s="808"/>
      <c r="C170" s="254"/>
      <c r="D170" s="160"/>
      <c r="E170" s="161"/>
      <c r="F170" s="425"/>
      <c r="G170" s="162"/>
      <c r="H170" s="163"/>
      <c r="I170" s="521" t="str">
        <f t="shared" si="56"/>
        <v/>
      </c>
      <c r="J170" s="522" t="str">
        <f t="shared" si="55"/>
        <v/>
      </c>
      <c r="K170" s="164"/>
      <c r="L170" s="164"/>
      <c r="M170" s="165"/>
      <c r="N170" s="164"/>
      <c r="O170" s="166"/>
      <c r="P170" s="167"/>
      <c r="Q170" s="168"/>
      <c r="R170" s="169"/>
      <c r="S170" s="170"/>
      <c r="T170" s="171"/>
      <c r="U170" s="172"/>
      <c r="V170" s="173"/>
      <c r="W170" s="234"/>
    </row>
    <row r="171" spans="2:23" ht="12.95" customHeight="1">
      <c r="B171" s="808"/>
      <c r="C171" s="254"/>
      <c r="D171" s="160"/>
      <c r="E171" s="161"/>
      <c r="F171" s="425"/>
      <c r="G171" s="162"/>
      <c r="H171" s="163"/>
      <c r="I171" s="521" t="str">
        <f t="shared" si="56"/>
        <v/>
      </c>
      <c r="J171" s="522" t="str">
        <f t="shared" si="55"/>
        <v/>
      </c>
      <c r="K171" s="164"/>
      <c r="L171" s="164"/>
      <c r="M171" s="165"/>
      <c r="N171" s="164"/>
      <c r="O171" s="166"/>
      <c r="P171" s="167"/>
      <c r="Q171" s="168"/>
      <c r="R171" s="169"/>
      <c r="S171" s="170"/>
      <c r="T171" s="171"/>
      <c r="U171" s="172"/>
      <c r="V171" s="173"/>
      <c r="W171" s="234"/>
    </row>
    <row r="172" spans="2:23" ht="12.95" customHeight="1">
      <c r="B172" s="808"/>
      <c r="C172" s="254"/>
      <c r="D172" s="160"/>
      <c r="E172" s="161"/>
      <c r="F172" s="425"/>
      <c r="G172" s="162"/>
      <c r="H172" s="163"/>
      <c r="I172" s="521" t="str">
        <f t="shared" si="56"/>
        <v/>
      </c>
      <c r="J172" s="522" t="str">
        <f t="shared" si="55"/>
        <v/>
      </c>
      <c r="K172" s="164"/>
      <c r="L172" s="164"/>
      <c r="M172" s="165"/>
      <c r="N172" s="164"/>
      <c r="O172" s="166"/>
      <c r="P172" s="167"/>
      <c r="Q172" s="168"/>
      <c r="R172" s="169"/>
      <c r="S172" s="170"/>
      <c r="T172" s="171"/>
      <c r="U172" s="172"/>
      <c r="V172" s="173"/>
      <c r="W172" s="234"/>
    </row>
    <row r="173" spans="2:23" ht="12.95" customHeight="1">
      <c r="B173" s="808"/>
      <c r="C173" s="254"/>
      <c r="D173" s="160"/>
      <c r="E173" s="161"/>
      <c r="F173" s="425"/>
      <c r="G173" s="162"/>
      <c r="H173" s="163"/>
      <c r="I173" s="521" t="str">
        <f t="shared" si="56"/>
        <v/>
      </c>
      <c r="J173" s="522" t="str">
        <f t="shared" si="55"/>
        <v/>
      </c>
      <c r="K173" s="164"/>
      <c r="L173" s="164"/>
      <c r="M173" s="165"/>
      <c r="N173" s="164"/>
      <c r="O173" s="166"/>
      <c r="P173" s="167"/>
      <c r="Q173" s="168"/>
      <c r="R173" s="169"/>
      <c r="S173" s="170"/>
      <c r="T173" s="171"/>
      <c r="U173" s="172"/>
      <c r="V173" s="173"/>
      <c r="W173" s="234"/>
    </row>
    <row r="174" spans="2:23" ht="12.95" customHeight="1" thickBot="1">
      <c r="B174" s="808"/>
      <c r="C174" s="255"/>
      <c r="D174" s="236"/>
      <c r="E174" s="237"/>
      <c r="F174" s="423"/>
      <c r="G174" s="238"/>
      <c r="H174" s="239"/>
      <c r="I174" s="361" t="str">
        <f t="shared" si="56"/>
        <v/>
      </c>
      <c r="J174" s="520" t="str">
        <f t="shared" si="55"/>
        <v/>
      </c>
      <c r="K174" s="240"/>
      <c r="L174" s="240"/>
      <c r="M174" s="241"/>
      <c r="N174" s="240"/>
      <c r="O174" s="242"/>
      <c r="P174" s="243"/>
      <c r="Q174" s="244"/>
      <c r="R174" s="245"/>
      <c r="S174" s="246"/>
      <c r="T174" s="247"/>
      <c r="U174" s="248"/>
      <c r="V174" s="249"/>
      <c r="W174" s="250"/>
    </row>
    <row r="175" spans="2:23" ht="12.95" customHeight="1" thickTop="1" thickBot="1">
      <c r="B175" s="809"/>
      <c r="C175" s="512" t="s">
        <v>294</v>
      </c>
      <c r="D175" s="235"/>
      <c r="E175" s="334"/>
      <c r="F175" s="424"/>
      <c r="G175" s="335"/>
      <c r="H175" s="336"/>
      <c r="I175" s="345"/>
      <c r="J175" s="517">
        <f>SUM(J164:J174)</f>
        <v>0</v>
      </c>
      <c r="K175" s="337"/>
      <c r="L175" s="337"/>
      <c r="M175" s="338"/>
      <c r="N175" s="337"/>
      <c r="O175" s="339"/>
      <c r="P175" s="340"/>
      <c r="Q175" s="341"/>
      <c r="R175" s="342"/>
      <c r="S175" s="343"/>
      <c r="T175" s="513"/>
      <c r="U175" s="345"/>
      <c r="V175" s="346"/>
      <c r="W175" s="347"/>
    </row>
    <row r="176" spans="2:23" ht="13.5" customHeight="1">
      <c r="C176" s="99"/>
      <c r="D176" s="99"/>
      <c r="E176" s="99"/>
      <c r="F176" s="453"/>
      <c r="G176" s="99"/>
      <c r="H176" s="99"/>
      <c r="I176" s="516"/>
      <c r="J176" s="456"/>
      <c r="K176" s="1"/>
      <c r="L176" s="1"/>
      <c r="M176" s="454"/>
      <c r="N176" s="1"/>
      <c r="O176" s="1"/>
      <c r="P176" s="1"/>
      <c r="Q176" s="455"/>
      <c r="R176" s="455"/>
      <c r="S176" s="455"/>
      <c r="T176" s="456"/>
      <c r="U176" s="456"/>
      <c r="V176" s="456"/>
      <c r="W176" s="99"/>
    </row>
    <row r="177" spans="3:23" s="198" customFormat="1">
      <c r="F177" s="457"/>
      <c r="I177" s="461"/>
      <c r="J177" s="461"/>
      <c r="K177" s="458"/>
      <c r="L177" s="458"/>
      <c r="M177" s="459"/>
      <c r="N177" s="458"/>
      <c r="O177" s="458"/>
      <c r="P177" s="458"/>
      <c r="Q177" s="460"/>
      <c r="R177" s="460"/>
      <c r="S177" s="460"/>
      <c r="T177" s="461"/>
      <c r="U177" s="461"/>
      <c r="V177" s="461"/>
    </row>
    <row r="178" spans="3:23" s="198" customFormat="1">
      <c r="F178" s="457"/>
      <c r="I178" s="461"/>
      <c r="J178" s="461"/>
      <c r="K178" s="458"/>
      <c r="L178" s="458"/>
      <c r="M178" s="459"/>
      <c r="N178" s="458"/>
      <c r="O178" s="458"/>
      <c r="P178" s="458"/>
      <c r="Q178" s="460"/>
      <c r="R178" s="460"/>
      <c r="S178" s="460"/>
      <c r="T178" s="461"/>
      <c r="U178" s="461"/>
      <c r="V178" s="461"/>
    </row>
    <row r="179" spans="3:23" s="198" customFormat="1">
      <c r="F179" s="457"/>
      <c r="I179" s="461"/>
      <c r="J179" s="461"/>
      <c r="K179" s="458"/>
      <c r="L179" s="458"/>
      <c r="M179" s="459"/>
      <c r="N179" s="458"/>
      <c r="O179" s="458"/>
      <c r="P179" s="458"/>
      <c r="Q179" s="460"/>
      <c r="R179" s="460"/>
      <c r="S179" s="460"/>
      <c r="T179" s="461"/>
      <c r="U179" s="461"/>
      <c r="V179" s="461"/>
    </row>
    <row r="180" spans="3:23" s="198" customFormat="1">
      <c r="F180" s="457"/>
      <c r="I180" s="461"/>
      <c r="J180" s="461"/>
      <c r="K180" s="458"/>
      <c r="L180" s="458"/>
      <c r="M180" s="459"/>
      <c r="N180" s="458"/>
      <c r="O180" s="458"/>
      <c r="P180" s="458"/>
      <c r="Q180" s="460"/>
      <c r="R180" s="460"/>
      <c r="S180" s="460"/>
      <c r="T180" s="461"/>
      <c r="U180" s="461"/>
      <c r="V180" s="461"/>
    </row>
    <row r="181" spans="3:23" s="198" customFormat="1">
      <c r="F181" s="457"/>
      <c r="I181" s="461"/>
      <c r="J181" s="461"/>
      <c r="K181" s="458"/>
      <c r="L181" s="458"/>
      <c r="M181" s="459"/>
      <c r="N181" s="458"/>
      <c r="O181" s="458"/>
      <c r="P181" s="458"/>
      <c r="Q181" s="460"/>
      <c r="R181" s="460"/>
      <c r="S181" s="460"/>
      <c r="T181" s="461"/>
      <c r="U181" s="461"/>
      <c r="V181" s="461"/>
    </row>
    <row r="182" spans="3:23" s="198" customFormat="1">
      <c r="F182" s="457"/>
      <c r="I182" s="461"/>
      <c r="J182" s="461"/>
      <c r="K182" s="458"/>
      <c r="L182" s="458"/>
      <c r="M182" s="459"/>
      <c r="N182" s="458"/>
      <c r="O182" s="458"/>
      <c r="P182" s="458"/>
      <c r="Q182" s="460"/>
      <c r="R182" s="460"/>
      <c r="S182" s="460"/>
      <c r="T182" s="461"/>
      <c r="U182" s="461"/>
      <c r="V182" s="461"/>
    </row>
    <row r="183" spans="3:23" s="198" customFormat="1">
      <c r="F183" s="457"/>
      <c r="I183" s="461"/>
      <c r="J183" s="461"/>
      <c r="K183" s="458"/>
      <c r="L183" s="458"/>
      <c r="M183" s="459"/>
      <c r="N183" s="458"/>
      <c r="O183" s="458"/>
      <c r="P183" s="458"/>
      <c r="Q183" s="460"/>
      <c r="R183" s="460"/>
      <c r="S183" s="460"/>
      <c r="T183" s="461"/>
      <c r="U183" s="461"/>
      <c r="V183" s="461"/>
    </row>
    <row r="184" spans="3:23" s="198" customFormat="1">
      <c r="F184" s="457"/>
      <c r="I184" s="461" t="s">
        <v>293</v>
      </c>
      <c r="J184" s="461" t="s">
        <v>293</v>
      </c>
      <c r="K184" s="458"/>
      <c r="L184" s="458"/>
      <c r="M184" s="459"/>
      <c r="N184" s="458"/>
      <c r="O184" s="458">
        <v>0</v>
      </c>
      <c r="P184" s="458"/>
      <c r="Q184" s="460"/>
      <c r="R184" s="460"/>
      <c r="S184" s="460"/>
      <c r="T184" s="461" t="s">
        <v>293</v>
      </c>
      <c r="U184" s="461" t="s">
        <v>293</v>
      </c>
      <c r="V184" s="461" t="s">
        <v>293</v>
      </c>
    </row>
    <row r="185" spans="3:23" s="198" customFormat="1">
      <c r="F185" s="457"/>
      <c r="I185" s="461" t="s">
        <v>293</v>
      </c>
      <c r="J185" s="461" t="s">
        <v>293</v>
      </c>
      <c r="K185" s="458"/>
      <c r="L185" s="458"/>
      <c r="M185" s="459"/>
      <c r="N185" s="458"/>
      <c r="O185" s="458">
        <v>0</v>
      </c>
      <c r="P185" s="458"/>
      <c r="Q185" s="460"/>
      <c r="R185" s="460"/>
      <c r="S185" s="460"/>
      <c r="T185" s="461" t="s">
        <v>293</v>
      </c>
      <c r="U185" s="461" t="s">
        <v>293</v>
      </c>
      <c r="V185" s="461" t="s">
        <v>293</v>
      </c>
    </row>
    <row r="186" spans="3:23" s="198" customFormat="1">
      <c r="C186" s="199"/>
      <c r="D186" s="199"/>
      <c r="E186" s="199"/>
      <c r="F186" s="462"/>
      <c r="G186" s="199"/>
      <c r="H186" s="199"/>
      <c r="I186" s="466" t="s">
        <v>293</v>
      </c>
      <c r="J186" s="466" t="s">
        <v>293</v>
      </c>
      <c r="K186" s="463"/>
      <c r="L186" s="463"/>
      <c r="M186" s="464"/>
      <c r="N186" s="463"/>
      <c r="O186" s="463">
        <v>0</v>
      </c>
      <c r="P186" s="463"/>
      <c r="Q186" s="465"/>
      <c r="R186" s="465"/>
      <c r="S186" s="465"/>
      <c r="T186" s="466" t="s">
        <v>293</v>
      </c>
      <c r="U186" s="466" t="s">
        <v>293</v>
      </c>
      <c r="V186" s="466" t="s">
        <v>293</v>
      </c>
      <c r="W186" s="199"/>
    </row>
    <row r="187" spans="3:23" s="198" customFormat="1">
      <c r="C187" s="199"/>
      <c r="D187" s="199"/>
      <c r="E187" s="199"/>
      <c r="F187" s="462"/>
      <c r="G187" s="199"/>
      <c r="H187" s="199"/>
      <c r="I187" s="466" t="s">
        <v>293</v>
      </c>
      <c r="J187" s="466" t="s">
        <v>293</v>
      </c>
      <c r="K187" s="463"/>
      <c r="L187" s="463"/>
      <c r="M187" s="464"/>
      <c r="N187" s="463"/>
      <c r="O187" s="463">
        <v>0</v>
      </c>
      <c r="P187" s="463"/>
      <c r="Q187" s="465"/>
      <c r="R187" s="465"/>
      <c r="S187" s="465"/>
      <c r="T187" s="466" t="s">
        <v>293</v>
      </c>
      <c r="U187" s="466" t="s">
        <v>293</v>
      </c>
      <c r="V187" s="466" t="s">
        <v>293</v>
      </c>
      <c r="W187" s="199"/>
    </row>
    <row r="188" spans="3:23" s="198" customFormat="1">
      <c r="C188" s="199"/>
      <c r="D188" s="199"/>
      <c r="E188" s="199"/>
      <c r="F188" s="462"/>
      <c r="G188" s="199"/>
      <c r="H188" s="199"/>
      <c r="I188" s="466" t="s">
        <v>293</v>
      </c>
      <c r="J188" s="466" t="s">
        <v>293</v>
      </c>
      <c r="K188" s="463"/>
      <c r="L188" s="463"/>
      <c r="M188" s="464"/>
      <c r="N188" s="463"/>
      <c r="O188" s="463">
        <v>0</v>
      </c>
      <c r="P188" s="463"/>
      <c r="Q188" s="465"/>
      <c r="R188" s="465"/>
      <c r="S188" s="465"/>
      <c r="T188" s="466" t="s">
        <v>293</v>
      </c>
      <c r="U188" s="466" t="s">
        <v>293</v>
      </c>
      <c r="V188" s="466" t="s">
        <v>293</v>
      </c>
      <c r="W188" s="199"/>
    </row>
    <row r="189" spans="3:23" s="198" customFormat="1">
      <c r="C189" s="199"/>
      <c r="D189" s="199"/>
      <c r="E189" s="199"/>
      <c r="F189" s="462"/>
      <c r="G189" s="199"/>
      <c r="H189" s="199"/>
      <c r="I189" s="466" t="s">
        <v>293</v>
      </c>
      <c r="J189" s="466" t="s">
        <v>293</v>
      </c>
      <c r="K189" s="463"/>
      <c r="L189" s="463"/>
      <c r="M189" s="464"/>
      <c r="N189" s="463"/>
      <c r="O189" s="463">
        <v>0</v>
      </c>
      <c r="P189" s="463"/>
      <c r="Q189" s="465"/>
      <c r="R189" s="465"/>
      <c r="S189" s="465"/>
      <c r="T189" s="466" t="s">
        <v>293</v>
      </c>
      <c r="U189" s="466" t="s">
        <v>293</v>
      </c>
      <c r="V189" s="466" t="s">
        <v>293</v>
      </c>
      <c r="W189" s="199"/>
    </row>
    <row r="190" spans="3:23" s="198" customFormat="1">
      <c r="C190" s="199"/>
      <c r="D190" s="199"/>
      <c r="E190" s="199"/>
      <c r="F190" s="462"/>
      <c r="G190" s="199"/>
      <c r="H190" s="199"/>
      <c r="I190" s="466" t="s">
        <v>293</v>
      </c>
      <c r="J190" s="466" t="s">
        <v>293</v>
      </c>
      <c r="K190" s="463"/>
      <c r="L190" s="463"/>
      <c r="M190" s="464"/>
      <c r="N190" s="463"/>
      <c r="O190" s="463">
        <v>0</v>
      </c>
      <c r="P190" s="463"/>
      <c r="Q190" s="465"/>
      <c r="R190" s="465"/>
      <c r="S190" s="465"/>
      <c r="T190" s="466" t="s">
        <v>293</v>
      </c>
      <c r="U190" s="466" t="s">
        <v>293</v>
      </c>
      <c r="V190" s="466" t="s">
        <v>293</v>
      </c>
      <c r="W190" s="199"/>
    </row>
    <row r="191" spans="3:23" s="198" customFormat="1">
      <c r="C191" s="199"/>
      <c r="D191" s="199"/>
      <c r="E191" s="199"/>
      <c r="F191" s="462"/>
      <c r="G191" s="199"/>
      <c r="H191" s="199"/>
      <c r="I191" s="466" t="s">
        <v>293</v>
      </c>
      <c r="J191" s="466" t="s">
        <v>293</v>
      </c>
      <c r="K191" s="463"/>
      <c r="L191" s="463"/>
      <c r="M191" s="464"/>
      <c r="N191" s="463"/>
      <c r="O191" s="463">
        <v>0</v>
      </c>
      <c r="P191" s="463"/>
      <c r="Q191" s="465"/>
      <c r="R191" s="465"/>
      <c r="S191" s="465"/>
      <c r="T191" s="466" t="s">
        <v>293</v>
      </c>
      <c r="U191" s="466" t="s">
        <v>293</v>
      </c>
      <c r="V191" s="466" t="s">
        <v>293</v>
      </c>
      <c r="W191" s="199"/>
    </row>
    <row r="192" spans="3:23">
      <c r="I192" s="466" t="s">
        <v>293</v>
      </c>
      <c r="J192" s="466" t="s">
        <v>293</v>
      </c>
      <c r="O192" s="463">
        <v>0</v>
      </c>
      <c r="T192" s="466" t="s">
        <v>293</v>
      </c>
      <c r="U192" s="466" t="s">
        <v>293</v>
      </c>
      <c r="V192" s="466" t="s">
        <v>293</v>
      </c>
    </row>
    <row r="193" spans="9:22">
      <c r="I193" s="466" t="s">
        <v>293</v>
      </c>
      <c r="J193" s="466" t="s">
        <v>293</v>
      </c>
      <c r="O193" s="463">
        <v>0</v>
      </c>
      <c r="T193" s="466" t="s">
        <v>293</v>
      </c>
      <c r="U193" s="466" t="s">
        <v>293</v>
      </c>
      <c r="V193" s="466" t="s">
        <v>293</v>
      </c>
    </row>
    <row r="194" spans="9:22">
      <c r="I194" s="466" t="s">
        <v>293</v>
      </c>
      <c r="J194" s="466" t="s">
        <v>293</v>
      </c>
      <c r="O194" s="463">
        <v>0</v>
      </c>
      <c r="T194" s="466" t="s">
        <v>293</v>
      </c>
      <c r="U194" s="466" t="s">
        <v>293</v>
      </c>
      <c r="V194" s="466" t="s">
        <v>293</v>
      </c>
    </row>
    <row r="195" spans="9:22">
      <c r="I195" s="466" t="s">
        <v>293</v>
      </c>
      <c r="J195" s="466" t="s">
        <v>293</v>
      </c>
      <c r="O195" s="463">
        <v>0</v>
      </c>
      <c r="T195" s="466" t="s">
        <v>293</v>
      </c>
      <c r="U195" s="466" t="s">
        <v>293</v>
      </c>
      <c r="V195" s="466" t="s">
        <v>293</v>
      </c>
    </row>
    <row r="196" spans="9:22">
      <c r="I196" s="466" t="s">
        <v>293</v>
      </c>
      <c r="J196" s="466" t="s">
        <v>293</v>
      </c>
      <c r="O196" s="463">
        <v>0</v>
      </c>
      <c r="T196" s="466" t="s">
        <v>293</v>
      </c>
      <c r="U196" s="466" t="s">
        <v>293</v>
      </c>
      <c r="V196" s="466" t="s">
        <v>293</v>
      </c>
    </row>
    <row r="197" spans="9:22">
      <c r="I197" s="466" t="s">
        <v>293</v>
      </c>
      <c r="J197" s="466" t="s">
        <v>293</v>
      </c>
      <c r="O197" s="463">
        <v>0</v>
      </c>
      <c r="T197" s="466" t="s">
        <v>293</v>
      </c>
      <c r="U197" s="466" t="s">
        <v>293</v>
      </c>
      <c r="V197" s="466" t="s">
        <v>293</v>
      </c>
    </row>
    <row r="198" spans="9:22">
      <c r="I198" s="466" t="s">
        <v>293</v>
      </c>
      <c r="J198" s="466" t="s">
        <v>293</v>
      </c>
      <c r="O198" s="463">
        <v>0</v>
      </c>
      <c r="T198" s="466" t="s">
        <v>293</v>
      </c>
      <c r="U198" s="466" t="s">
        <v>293</v>
      </c>
      <c r="V198" s="466" t="s">
        <v>293</v>
      </c>
    </row>
    <row r="199" spans="9:22">
      <c r="I199" s="466" t="s">
        <v>293</v>
      </c>
      <c r="J199" s="466" t="s">
        <v>293</v>
      </c>
      <c r="O199" s="463">
        <v>0</v>
      </c>
      <c r="T199" s="466" t="s">
        <v>293</v>
      </c>
      <c r="U199" s="466" t="s">
        <v>293</v>
      </c>
      <c r="V199" s="466" t="s">
        <v>293</v>
      </c>
    </row>
    <row r="200" spans="9:22">
      <c r="I200" s="466" t="s">
        <v>293</v>
      </c>
      <c r="J200" s="466" t="s">
        <v>293</v>
      </c>
      <c r="O200" s="463">
        <v>0</v>
      </c>
      <c r="T200" s="466" t="s">
        <v>293</v>
      </c>
      <c r="U200" s="466" t="s">
        <v>293</v>
      </c>
      <c r="V200" s="466" t="s">
        <v>293</v>
      </c>
    </row>
    <row r="201" spans="9:22">
      <c r="I201" s="466" t="s">
        <v>293</v>
      </c>
      <c r="J201" s="466" t="s">
        <v>293</v>
      </c>
      <c r="O201" s="463">
        <v>0</v>
      </c>
      <c r="T201" s="466" t="s">
        <v>293</v>
      </c>
      <c r="U201" s="466" t="s">
        <v>293</v>
      </c>
      <c r="V201" s="466" t="s">
        <v>293</v>
      </c>
    </row>
    <row r="202" spans="9:22">
      <c r="I202" s="466" t="s">
        <v>293</v>
      </c>
      <c r="J202" s="466" t="s">
        <v>293</v>
      </c>
      <c r="O202" s="463">
        <v>0</v>
      </c>
      <c r="T202" s="466" t="s">
        <v>293</v>
      </c>
      <c r="U202" s="466" t="s">
        <v>293</v>
      </c>
      <c r="V202" s="466" t="s">
        <v>293</v>
      </c>
    </row>
    <row r="203" spans="9:22">
      <c r="I203" s="466" t="s">
        <v>293</v>
      </c>
      <c r="J203" s="466" t="s">
        <v>293</v>
      </c>
      <c r="O203" s="463">
        <v>0</v>
      </c>
      <c r="T203" s="466" t="s">
        <v>293</v>
      </c>
      <c r="U203" s="466" t="s">
        <v>293</v>
      </c>
      <c r="V203" s="466" t="s">
        <v>293</v>
      </c>
    </row>
    <row r="204" spans="9:22">
      <c r="I204" s="466" t="s">
        <v>293</v>
      </c>
      <c r="J204" s="466" t="s">
        <v>293</v>
      </c>
      <c r="O204" s="463">
        <v>0</v>
      </c>
      <c r="T204" s="466" t="s">
        <v>293</v>
      </c>
      <c r="U204" s="466" t="s">
        <v>293</v>
      </c>
      <c r="V204" s="466" t="s">
        <v>293</v>
      </c>
    </row>
    <row r="205" spans="9:22">
      <c r="I205" s="466" t="s">
        <v>293</v>
      </c>
      <c r="J205" s="466" t="s">
        <v>293</v>
      </c>
      <c r="O205" s="463">
        <v>0</v>
      </c>
      <c r="T205" s="466" t="s">
        <v>293</v>
      </c>
      <c r="U205" s="466" t="s">
        <v>293</v>
      </c>
      <c r="V205" s="466" t="s">
        <v>293</v>
      </c>
    </row>
    <row r="206" spans="9:22">
      <c r="I206" s="466" t="s">
        <v>293</v>
      </c>
      <c r="J206" s="466" t="s">
        <v>293</v>
      </c>
      <c r="O206" s="463">
        <v>0</v>
      </c>
      <c r="T206" s="466" t="s">
        <v>293</v>
      </c>
      <c r="U206" s="466" t="s">
        <v>293</v>
      </c>
      <c r="V206" s="466" t="s">
        <v>293</v>
      </c>
    </row>
    <row r="207" spans="9:22">
      <c r="I207" s="466" t="s">
        <v>293</v>
      </c>
      <c r="J207" s="466" t="s">
        <v>293</v>
      </c>
      <c r="O207" s="463">
        <v>0</v>
      </c>
      <c r="T207" s="466" t="s">
        <v>293</v>
      </c>
      <c r="U207" s="466" t="s">
        <v>293</v>
      </c>
      <c r="V207" s="466" t="s">
        <v>293</v>
      </c>
    </row>
    <row r="208" spans="9:22">
      <c r="I208" s="466" t="s">
        <v>293</v>
      </c>
      <c r="J208" s="466" t="s">
        <v>293</v>
      </c>
      <c r="O208" s="463">
        <v>0</v>
      </c>
      <c r="T208" s="466" t="s">
        <v>293</v>
      </c>
      <c r="U208" s="466" t="s">
        <v>293</v>
      </c>
      <c r="V208" s="466" t="s">
        <v>293</v>
      </c>
    </row>
    <row r="209" spans="20:22">
      <c r="T209" s="466"/>
      <c r="U209" s="466"/>
      <c r="V209" s="466"/>
    </row>
    <row r="210" spans="20:22">
      <c r="T210" s="466"/>
      <c r="U210" s="466"/>
      <c r="V210" s="466"/>
    </row>
    <row r="211" spans="20:22">
      <c r="T211" s="466"/>
      <c r="U211" s="466"/>
      <c r="V211" s="466"/>
    </row>
    <row r="212" spans="20:22">
      <c r="T212" s="466"/>
      <c r="U212" s="466"/>
      <c r="V212" s="466"/>
    </row>
    <row r="213" spans="20:22">
      <c r="T213" s="466"/>
      <c r="U213" s="466"/>
      <c r="V213" s="466"/>
    </row>
    <row r="214" spans="20:22">
      <c r="T214" s="466"/>
      <c r="U214" s="466"/>
      <c r="V214" s="466"/>
    </row>
    <row r="215" spans="20:22">
      <c r="T215" s="466"/>
      <c r="U215" s="466"/>
      <c r="V215" s="466"/>
    </row>
    <row r="216" spans="20:22">
      <c r="T216" s="466"/>
      <c r="U216" s="466"/>
      <c r="V216" s="466"/>
    </row>
    <row r="217" spans="20:22">
      <c r="T217" s="466"/>
      <c r="U217" s="466"/>
      <c r="V217" s="466"/>
    </row>
    <row r="218" spans="20:22">
      <c r="T218" s="466"/>
      <c r="U218" s="466"/>
      <c r="V218" s="466"/>
    </row>
    <row r="219" spans="20:22">
      <c r="T219" s="466"/>
      <c r="U219" s="466"/>
      <c r="V219" s="466"/>
    </row>
    <row r="220" spans="20:22" hidden="1">
      <c r="T220" s="466"/>
      <c r="U220" s="466"/>
      <c r="V220" s="466"/>
    </row>
    <row r="221" spans="20:22">
      <c r="T221" s="466"/>
      <c r="U221" s="466"/>
      <c r="V221" s="466"/>
    </row>
    <row r="222" spans="20:22">
      <c r="T222" s="466"/>
      <c r="U222" s="466"/>
      <c r="V222" s="466"/>
    </row>
    <row r="223" spans="20:22">
      <c r="T223" s="466"/>
      <c r="U223" s="466"/>
      <c r="V223" s="466"/>
    </row>
    <row r="224" spans="20:22">
      <c r="T224" s="466"/>
      <c r="U224" s="466"/>
      <c r="V224" s="466"/>
    </row>
    <row r="225" spans="20:22">
      <c r="T225" s="466"/>
      <c r="U225" s="466"/>
      <c r="V225" s="466"/>
    </row>
    <row r="226" spans="20:22">
      <c r="T226" s="466"/>
      <c r="U226" s="466"/>
      <c r="V226" s="466"/>
    </row>
    <row r="227" spans="20:22">
      <c r="T227" s="466"/>
      <c r="U227" s="466"/>
      <c r="V227" s="466"/>
    </row>
    <row r="228" spans="20:22">
      <c r="T228" s="466"/>
      <c r="U228" s="466"/>
      <c r="V228" s="466"/>
    </row>
    <row r="229" spans="20:22">
      <c r="T229" s="466"/>
      <c r="U229" s="466"/>
      <c r="V229" s="466"/>
    </row>
    <row r="230" spans="20:22">
      <c r="T230" s="466"/>
      <c r="U230" s="466"/>
      <c r="V230" s="466"/>
    </row>
    <row r="231" spans="20:22">
      <c r="T231" s="466"/>
      <c r="U231" s="466"/>
      <c r="V231" s="466"/>
    </row>
    <row r="232" spans="20:22">
      <c r="T232" s="466"/>
      <c r="U232" s="466"/>
      <c r="V232" s="466"/>
    </row>
    <row r="233" spans="20:22">
      <c r="T233" s="466"/>
      <c r="U233" s="466"/>
      <c r="V233" s="466"/>
    </row>
    <row r="234" spans="20:22">
      <c r="T234" s="466"/>
      <c r="U234" s="466"/>
      <c r="V234" s="466"/>
    </row>
    <row r="235" spans="20:22">
      <c r="T235" s="466"/>
      <c r="U235" s="466"/>
      <c r="V235" s="466"/>
    </row>
    <row r="236" spans="20:22">
      <c r="T236" s="466"/>
      <c r="U236" s="466"/>
      <c r="V236" s="466"/>
    </row>
    <row r="237" spans="20:22">
      <c r="T237" s="466"/>
      <c r="U237" s="466"/>
      <c r="V237" s="466"/>
    </row>
    <row r="238" spans="20:22">
      <c r="T238" s="466"/>
      <c r="U238" s="466"/>
      <c r="V238" s="466"/>
    </row>
    <row r="239" spans="20:22">
      <c r="T239" s="466"/>
      <c r="U239" s="466"/>
      <c r="V239" s="466"/>
    </row>
    <row r="240" spans="20:22">
      <c r="T240" s="466"/>
      <c r="U240" s="466"/>
      <c r="V240" s="466"/>
    </row>
    <row r="241" spans="20:22">
      <c r="T241" s="466"/>
      <c r="U241" s="466"/>
      <c r="V241" s="466"/>
    </row>
    <row r="242" spans="20:22">
      <c r="T242" s="466"/>
      <c r="U242" s="466"/>
      <c r="V242" s="466"/>
    </row>
    <row r="243" spans="20:22">
      <c r="T243" s="466"/>
      <c r="U243" s="466"/>
      <c r="V243" s="466"/>
    </row>
    <row r="244" spans="20:22">
      <c r="T244" s="466"/>
      <c r="U244" s="466"/>
      <c r="V244" s="466"/>
    </row>
    <row r="245" spans="20:22">
      <c r="T245" s="466"/>
      <c r="U245" s="466"/>
      <c r="V245" s="466"/>
    </row>
    <row r="246" spans="20:22">
      <c r="T246" s="466"/>
      <c r="U246" s="466"/>
      <c r="V246" s="466"/>
    </row>
    <row r="247" spans="20:22">
      <c r="T247" s="466"/>
      <c r="U247" s="466"/>
      <c r="V247" s="466"/>
    </row>
    <row r="248" spans="20:22">
      <c r="T248" s="466"/>
      <c r="U248" s="466"/>
      <c r="V248" s="466"/>
    </row>
    <row r="249" spans="20:22">
      <c r="T249" s="466"/>
      <c r="U249" s="466"/>
      <c r="V249" s="466"/>
    </row>
    <row r="250" spans="20:22">
      <c r="T250" s="466"/>
      <c r="U250" s="466"/>
      <c r="V250" s="466"/>
    </row>
    <row r="251" spans="20:22">
      <c r="T251" s="466"/>
      <c r="U251" s="466"/>
      <c r="V251" s="466"/>
    </row>
    <row r="252" spans="20:22">
      <c r="T252" s="466"/>
      <c r="U252" s="466"/>
      <c r="V252" s="466"/>
    </row>
    <row r="253" spans="20:22">
      <c r="T253" s="466"/>
      <c r="U253" s="466"/>
      <c r="V253" s="466"/>
    </row>
    <row r="254" spans="20:22">
      <c r="T254" s="466"/>
      <c r="U254" s="466"/>
      <c r="V254" s="466"/>
    </row>
    <row r="255" spans="20:22">
      <c r="T255" s="466"/>
      <c r="U255" s="466"/>
      <c r="V255" s="466"/>
    </row>
    <row r="256" spans="20:22">
      <c r="T256" s="466"/>
      <c r="U256" s="466"/>
      <c r="V256" s="466"/>
    </row>
    <row r="257" spans="20:22">
      <c r="T257" s="466"/>
      <c r="U257" s="466"/>
      <c r="V257" s="466"/>
    </row>
    <row r="258" spans="20:22">
      <c r="T258" s="466"/>
      <c r="U258" s="466"/>
      <c r="V258" s="466"/>
    </row>
    <row r="259" spans="20:22">
      <c r="T259" s="466"/>
      <c r="U259" s="466"/>
      <c r="V259" s="466"/>
    </row>
    <row r="260" spans="20:22">
      <c r="T260" s="466"/>
      <c r="U260" s="466"/>
      <c r="V260" s="466"/>
    </row>
    <row r="261" spans="20:22">
      <c r="T261" s="466"/>
      <c r="U261" s="466"/>
      <c r="V261" s="466"/>
    </row>
    <row r="262" spans="20:22">
      <c r="T262" s="466"/>
      <c r="U262" s="466"/>
      <c r="V262" s="466"/>
    </row>
    <row r="263" spans="20:22">
      <c r="T263" s="466"/>
      <c r="U263" s="466"/>
      <c r="V263" s="466"/>
    </row>
    <row r="264" spans="20:22">
      <c r="T264" s="466"/>
      <c r="U264" s="466"/>
      <c r="V264" s="466"/>
    </row>
    <row r="265" spans="20:22">
      <c r="T265" s="466"/>
      <c r="U265" s="466"/>
      <c r="V265" s="466"/>
    </row>
    <row r="266" spans="20:22">
      <c r="T266" s="466"/>
      <c r="U266" s="466"/>
      <c r="V266" s="466"/>
    </row>
    <row r="267" spans="20:22">
      <c r="T267" s="466"/>
      <c r="U267" s="466"/>
      <c r="V267" s="466"/>
    </row>
    <row r="268" spans="20:22">
      <c r="T268" s="466"/>
      <c r="U268" s="466"/>
      <c r="V268" s="466"/>
    </row>
    <row r="269" spans="20:22">
      <c r="T269" s="466"/>
      <c r="U269" s="466"/>
      <c r="V269" s="466"/>
    </row>
    <row r="270" spans="20:22">
      <c r="T270" s="466"/>
      <c r="U270" s="466"/>
      <c r="V270" s="466"/>
    </row>
    <row r="271" spans="20:22">
      <c r="T271" s="466"/>
      <c r="U271" s="466"/>
      <c r="V271" s="466"/>
    </row>
    <row r="272" spans="20:22">
      <c r="T272" s="466"/>
      <c r="U272" s="466"/>
      <c r="V272" s="466"/>
    </row>
    <row r="273" spans="20:22">
      <c r="T273" s="466"/>
      <c r="U273" s="466"/>
      <c r="V273" s="466"/>
    </row>
    <row r="274" spans="20:22">
      <c r="T274" s="466"/>
      <c r="U274" s="466"/>
      <c r="V274" s="466"/>
    </row>
    <row r="275" spans="20:22">
      <c r="T275" s="466"/>
      <c r="U275" s="466"/>
      <c r="V275" s="466"/>
    </row>
    <row r="276" spans="20:22">
      <c r="T276" s="466"/>
      <c r="U276" s="466"/>
      <c r="V276" s="466"/>
    </row>
    <row r="277" spans="20:22">
      <c r="T277" s="466"/>
      <c r="U277" s="466"/>
      <c r="V277" s="466"/>
    </row>
    <row r="278" spans="20:22">
      <c r="T278" s="466"/>
      <c r="U278" s="466"/>
      <c r="V278" s="466"/>
    </row>
    <row r="279" spans="20:22">
      <c r="T279" s="466"/>
      <c r="U279" s="466"/>
      <c r="V279" s="466"/>
    </row>
    <row r="280" spans="20:22">
      <c r="T280" s="466"/>
      <c r="U280" s="466"/>
      <c r="V280" s="466"/>
    </row>
    <row r="281" spans="20:22">
      <c r="T281" s="466"/>
      <c r="U281" s="466"/>
      <c r="V281" s="466"/>
    </row>
    <row r="282" spans="20:22">
      <c r="T282" s="466"/>
      <c r="U282" s="466"/>
      <c r="V282" s="466"/>
    </row>
    <row r="283" spans="20:22">
      <c r="T283" s="466"/>
      <c r="U283" s="466"/>
      <c r="V283" s="466"/>
    </row>
    <row r="284" spans="20:22">
      <c r="T284" s="466"/>
      <c r="U284" s="466"/>
      <c r="V284" s="466"/>
    </row>
    <row r="285" spans="20:22">
      <c r="T285" s="466"/>
      <c r="U285" s="466"/>
      <c r="V285" s="466"/>
    </row>
    <row r="286" spans="20:22">
      <c r="T286" s="466"/>
      <c r="U286" s="466"/>
      <c r="V286" s="466"/>
    </row>
    <row r="287" spans="20:22">
      <c r="T287" s="466"/>
      <c r="U287" s="466"/>
      <c r="V287" s="466"/>
    </row>
    <row r="288" spans="20:22">
      <c r="T288" s="466"/>
      <c r="U288" s="466"/>
      <c r="V288" s="466"/>
    </row>
    <row r="289" spans="20:22">
      <c r="T289" s="466"/>
      <c r="U289" s="466"/>
      <c r="V289" s="466"/>
    </row>
    <row r="290" spans="20:22">
      <c r="T290" s="466"/>
      <c r="U290" s="466"/>
      <c r="V290" s="466"/>
    </row>
    <row r="291" spans="20:22">
      <c r="T291" s="466"/>
      <c r="U291" s="466"/>
      <c r="V291" s="466"/>
    </row>
    <row r="292" spans="20:22">
      <c r="T292" s="466"/>
      <c r="U292" s="466"/>
      <c r="V292" s="466"/>
    </row>
    <row r="293" spans="20:22">
      <c r="T293" s="466"/>
      <c r="U293" s="466"/>
      <c r="V293" s="466"/>
    </row>
    <row r="294" spans="20:22">
      <c r="T294" s="466"/>
      <c r="U294" s="466"/>
      <c r="V294" s="466"/>
    </row>
    <row r="295" spans="20:22">
      <c r="T295" s="466"/>
      <c r="U295" s="466"/>
      <c r="V295" s="466"/>
    </row>
    <row r="296" spans="20:22">
      <c r="T296" s="466"/>
      <c r="U296" s="466"/>
      <c r="V296" s="466"/>
    </row>
    <row r="297" spans="20:22">
      <c r="T297" s="466"/>
      <c r="U297" s="466"/>
      <c r="V297" s="466"/>
    </row>
    <row r="298" spans="20:22">
      <c r="T298" s="466"/>
      <c r="U298" s="466"/>
      <c r="V298" s="466"/>
    </row>
    <row r="299" spans="20:22">
      <c r="T299" s="466"/>
      <c r="U299" s="466"/>
      <c r="V299" s="466"/>
    </row>
    <row r="300" spans="20:22">
      <c r="T300" s="466"/>
      <c r="U300" s="466"/>
      <c r="V300" s="466"/>
    </row>
    <row r="301" spans="20:22">
      <c r="T301" s="466"/>
      <c r="U301" s="466"/>
      <c r="V301" s="466"/>
    </row>
    <row r="302" spans="20:22">
      <c r="T302" s="466"/>
      <c r="U302" s="466"/>
      <c r="V302" s="466"/>
    </row>
    <row r="303" spans="20:22">
      <c r="T303" s="466"/>
      <c r="U303" s="466"/>
      <c r="V303" s="466"/>
    </row>
    <row r="304" spans="20:22">
      <c r="T304" s="466"/>
      <c r="U304" s="466"/>
      <c r="V304" s="466"/>
    </row>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sheetData>
  <sheetProtection sheet="1" objects="1" scenarios="1" selectLockedCells="1"/>
  <mergeCells count="16">
    <mergeCell ref="B154:B158"/>
    <mergeCell ref="B159:B163"/>
    <mergeCell ref="B164:B175"/>
    <mergeCell ref="B133:B143"/>
    <mergeCell ref="B9:B20"/>
    <mergeCell ref="B21:B61"/>
    <mergeCell ref="B144:B148"/>
    <mergeCell ref="B149:B153"/>
    <mergeCell ref="B127:B132"/>
    <mergeCell ref="D1:E1"/>
    <mergeCell ref="B3:B8"/>
    <mergeCell ref="B62:B70"/>
    <mergeCell ref="B109:B115"/>
    <mergeCell ref="B121:B126"/>
    <mergeCell ref="B116:B120"/>
    <mergeCell ref="B71:B108"/>
  </mergeCells>
  <phoneticPr fontId="14"/>
  <dataValidations count="2">
    <dataValidation type="list" allowBlank="1" showErrorMessage="1" sqref="E107:E175 P3:P175 M3:M175 E8:E96">
      <formula1>単位</formula1>
      <formula2>0</formula2>
    </dataValidation>
    <dataValidation type="list" allowBlank="1" showInputMessage="1" showErrorMessage="1" sqref="E3:E7">
      <formula1>単位</formula1>
    </dataValidation>
  </dataValidations>
  <printOptions horizontalCentered="1"/>
  <pageMargins left="0.23622047244094491" right="0.23622047244094491" top="0.74803149606299213" bottom="0.74803149606299213" header="0.31496062992125984" footer="0.31496062992125984"/>
  <pageSetup paperSize="9" scale="90" fitToHeight="0" orientation="portrait" cellComments="asDisplayed" useFirstPageNumber="1" verticalDpi="300" r:id="rId1"/>
  <headerFooter alignWithMargins="0">
    <oddHeader>&amp;L&amp;D&amp;F &amp;A</oddHeader>
    <oddFooter>&amp;C&amp;14&amp;P/&amp;N</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16"/>
  <sheetViews>
    <sheetView workbookViewId="0">
      <selection activeCell="D7" sqref="D7"/>
    </sheetView>
  </sheetViews>
  <sheetFormatPr defaultRowHeight="13.5"/>
  <cols>
    <col min="3" max="3" width="9.875" bestFit="1" customWidth="1"/>
    <col min="4" max="4" width="30.5" bestFit="1" customWidth="1"/>
  </cols>
  <sheetData>
    <row r="3" spans="3:4">
      <c r="C3" s="299" t="s">
        <v>376</v>
      </c>
      <c r="D3" s="301"/>
    </row>
    <row r="4" spans="3:4">
      <c r="C4" s="303"/>
      <c r="D4" s="301" t="s">
        <v>377</v>
      </c>
    </row>
    <row r="5" spans="3:4">
      <c r="C5" s="304"/>
      <c r="D5" s="301" t="s">
        <v>378</v>
      </c>
    </row>
    <row r="6" spans="3:4">
      <c r="C6" s="301"/>
      <c r="D6" s="301" t="s">
        <v>379</v>
      </c>
    </row>
    <row r="13" spans="3:4">
      <c r="C13" s="299" t="s">
        <v>372</v>
      </c>
      <c r="D13" s="299" t="s">
        <v>371</v>
      </c>
    </row>
    <row r="14" spans="3:4">
      <c r="C14" s="300"/>
      <c r="D14" s="301" t="s">
        <v>373</v>
      </c>
    </row>
    <row r="15" spans="3:4">
      <c r="C15" s="302"/>
      <c r="D15" s="301" t="s">
        <v>374</v>
      </c>
    </row>
    <row r="16" spans="3:4">
      <c r="C16" s="301"/>
      <c r="D16" s="301" t="s">
        <v>375</v>
      </c>
    </row>
  </sheetData>
  <phoneticPr fontId="1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38</vt:i4>
      </vt:variant>
    </vt:vector>
  </HeadingPairs>
  <TitlesOfParts>
    <vt:vector size="48" baseType="lpstr">
      <vt:lpstr>経営収支</vt:lpstr>
      <vt:lpstr>作業体系表</vt:lpstr>
      <vt:lpstr>Z-BFM</vt:lpstr>
      <vt:lpstr>①技術体系</vt:lpstr>
      <vt:lpstr>②償却資産</vt:lpstr>
      <vt:lpstr>③労働時間</vt:lpstr>
      <vt:lpstr>④収入</vt:lpstr>
      <vt:lpstr>⑤支出</vt:lpstr>
      <vt:lpstr>凡例</vt:lpstr>
      <vt:lpstr>科目設定</vt:lpstr>
      <vt:lpstr>'Z-BFM'!EI_back</vt:lpstr>
      <vt:lpstr>'Z-BFM'!EI_choice</vt:lpstr>
      <vt:lpstr>'Z-BFM'!EI_expense</vt:lpstr>
      <vt:lpstr>'Z-BFM'!EI_front</vt:lpstr>
      <vt:lpstr>'Z-BFM'!EI_landcoef</vt:lpstr>
      <vt:lpstr>'Z-BFM'!EI_landuse</vt:lpstr>
      <vt:lpstr>'Z-BFM'!EI_outline</vt:lpstr>
      <vt:lpstr>'Z-BFM'!EI_profit</vt:lpstr>
      <vt:lpstr>'Z-BFM'!EI_return</vt:lpstr>
      <vt:lpstr>①技術体系!Print_Area</vt:lpstr>
      <vt:lpstr>④収入!Print_Area</vt:lpstr>
      <vt:lpstr>⑤支出!Print_Area</vt:lpstr>
      <vt:lpstr>科目設定!Print_Area</vt:lpstr>
      <vt:lpstr>作業体系表!Print_Area</vt:lpstr>
      <vt:lpstr>①技術体系!Print_Titles</vt:lpstr>
      <vt:lpstr>③労働時間!Print_Titles</vt:lpstr>
      <vt:lpstr>⑤支出!Print_Titles</vt:lpstr>
      <vt:lpstr>管理費用</vt:lpstr>
      <vt:lpstr>機械</vt:lpstr>
      <vt:lpstr>機械能力</vt:lpstr>
      <vt:lpstr>月旬</vt:lpstr>
      <vt:lpstr>雇用労働費</vt:lpstr>
      <vt:lpstr>作業名</vt:lpstr>
      <vt:lpstr>種苗費</vt:lpstr>
      <vt:lpstr>諸材料費</vt:lpstr>
      <vt:lpstr>植付本数</vt:lpstr>
      <vt:lpstr>粗収益</vt:lpstr>
      <vt:lpstr>想定面積</vt:lpstr>
      <vt:lpstr>単位</vt:lpstr>
      <vt:lpstr>賃借料・利用料</vt:lpstr>
      <vt:lpstr>土地改良・水利費</vt:lpstr>
      <vt:lpstr>動力・光熱費</vt:lpstr>
      <vt:lpstr>燃料種類</vt:lpstr>
      <vt:lpstr>農業薬剤費</vt:lpstr>
      <vt:lpstr>農具費</vt:lpstr>
      <vt:lpstr>販売費用</vt:lpstr>
      <vt:lpstr>肥料費</vt:lpstr>
      <vt:lpstr>本</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2018-02-11T06:09:06Z</cp:lastPrinted>
  <dcterms:created xsi:type="dcterms:W3CDTF">2008-10-27T01:58:08Z</dcterms:created>
  <dcterms:modified xsi:type="dcterms:W3CDTF">2018-02-11T06:09:10Z</dcterms:modified>
</cp:coreProperties>
</file>