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515" yWindow="6315" windowWidth="25665" windowHeight="5880" activeTab="4"/>
  </bookViews>
  <sheets>
    <sheet name="経営収支" sheetId="7" r:id="rId1"/>
    <sheet name="作業体系表" sheetId="5" r:id="rId2"/>
    <sheet name="Z-BFM" sheetId="19" r:id="rId3"/>
    <sheet name="①技術体系" sheetId="1" r:id="rId4"/>
    <sheet name="②償却資産" sheetId="2" r:id="rId5"/>
    <sheet name="③労働時間" sheetId="3" r:id="rId6"/>
    <sheet name="④収入" sheetId="21" r:id="rId7"/>
    <sheet name="⑤支出" sheetId="4" r:id="rId8"/>
    <sheet name="凡例" sheetId="20" r:id="rId9"/>
    <sheet name="科目設定" sheetId="11" r:id="rId10"/>
  </sheets>
  <externalReferences>
    <externalReference r:id="rId11"/>
    <externalReference r:id="rId12"/>
  </externalReferences>
  <definedNames>
    <definedName name="_xlnm._FilterDatabase" localSheetId="7" hidden="1">⑤支出!$A$2:$W$161</definedName>
    <definedName name="①_粗収益_10" localSheetId="2">[1]科目集計用!#REF!</definedName>
    <definedName name="①_粗収益_10">#REF!</definedName>
    <definedName name="①_粗収益_4" localSheetId="2">[1]収支入力!#REF!</definedName>
    <definedName name="①_粗収益_4">⑤支出!#REF!</definedName>
    <definedName name="①_粗収益_7" localSheetId="2">#REF!</definedName>
    <definedName name="①_粗収益_7">#REF!</definedName>
    <definedName name="②_種苗費_10" localSheetId="2">[1]科目集計用!#REF!</definedName>
    <definedName name="②_種苗費_10">#REF!</definedName>
    <definedName name="②_種苗費_4" localSheetId="2">[1]収支入力!#REF!</definedName>
    <definedName name="②_種苗費_4">⑤支出!#REF!</definedName>
    <definedName name="②_種苗費_7" localSheetId="2">#REF!</definedName>
    <definedName name="②_種苗費_7">#REF!</definedName>
    <definedName name="③_肥料費_10" localSheetId="2">[1]科目集計用!#REF!</definedName>
    <definedName name="③_肥料費_10">#REF!</definedName>
    <definedName name="③_肥料費_4" localSheetId="2">[1]収支入力!#REF!</definedName>
    <definedName name="③_肥料費_4">⑤支出!#REF!</definedName>
    <definedName name="③_肥料費_7" localSheetId="2">#REF!</definedName>
    <definedName name="③_肥料費_7">#REF!</definedName>
    <definedName name="④_農薬費_10" localSheetId="2">[1]科目集計用!#REF!</definedName>
    <definedName name="④_農薬費_10">#REF!</definedName>
    <definedName name="④_農薬費_4" localSheetId="2">[1]収支入力!#REF!</definedName>
    <definedName name="④_農薬費_4">⑤支出!#REF!</definedName>
    <definedName name="④_農薬費_7" localSheetId="2">#REF!</definedName>
    <definedName name="④_農薬費_7">#REF!</definedName>
    <definedName name="⑤_諸材料費_10" localSheetId="2">[1]科目集計用!#REF!</definedName>
    <definedName name="⑤_諸材料費_10">#REF!</definedName>
    <definedName name="⑤_諸材料費_4" localSheetId="2">[1]収支入力!#REF!</definedName>
    <definedName name="⑤_諸材料費_4">⑤支出!#REF!</definedName>
    <definedName name="⑤_諸材料費_7" localSheetId="2">#REF!</definedName>
    <definedName name="⑤_諸材料費_7">#REF!</definedName>
    <definedName name="⑥_光熱動力費_10" localSheetId="2">[1]科目集計用!#REF!</definedName>
    <definedName name="⑥_光熱動力費_10">#REF!</definedName>
    <definedName name="⑥_光熱動力費_4" localSheetId="2">[1]収支入力!#REF!</definedName>
    <definedName name="⑥_光熱動力費_4">⑤支出!#REF!</definedName>
    <definedName name="⑥_光熱動力費_7" localSheetId="2">#REF!</definedName>
    <definedName name="⑥_光熱動力費_7">#REF!</definedName>
    <definedName name="⑦_小農具費_10" localSheetId="2">[1]科目集計用!#REF!</definedName>
    <definedName name="⑦_小農具費_10">#REF!</definedName>
    <definedName name="⑦_小農具費_4" localSheetId="2">[1]収支入力!#REF!</definedName>
    <definedName name="⑦_小農具費_4">⑤支出!#REF!</definedName>
    <definedName name="⑦_小農具費_7" localSheetId="2">#REF!</definedName>
    <definedName name="⑦_小農具費_7">#REF!</definedName>
    <definedName name="⑧_雇用労働費_10" localSheetId="2">[1]科目集計用!#REF!</definedName>
    <definedName name="⑧_雇用労働費_10">#REF!</definedName>
    <definedName name="⑧_雇用労働費_4" localSheetId="2">[1]収支入力!#REF!</definedName>
    <definedName name="⑧_雇用労働費_4">⑤支出!#REF!</definedName>
    <definedName name="⑧_雇用労働費_7" localSheetId="2">#REF!</definedName>
    <definedName name="⑧_雇用労働費_7">#REF!</definedName>
    <definedName name="⑨_賃料料金_10" localSheetId="2">[1]科目集計用!#REF!</definedName>
    <definedName name="⑨_賃料料金_10">#REF!</definedName>
    <definedName name="⑨_賃料料金_4" localSheetId="2">[1]収支入力!#REF!</definedName>
    <definedName name="⑨_賃料料金_4">⑤支出!#REF!</definedName>
    <definedName name="⑨_賃料料金_7" localSheetId="2">#REF!</definedName>
    <definedName name="⑨_賃料料金_7">#REF!</definedName>
    <definedName name="⑩_土地改良水利費_10" localSheetId="2">[1]科目集計用!#REF!</definedName>
    <definedName name="⑩_土地改良水利費_10">#REF!</definedName>
    <definedName name="⑩_土地改良水利費_4" localSheetId="2">[1]収支入力!#REF!</definedName>
    <definedName name="⑩_土地改良水利費_4">⑤支出!#REF!</definedName>
    <definedName name="⑩_土地改良水利費_7" localSheetId="2">#REF!</definedName>
    <definedName name="⑩_土地改良水利費_7">#REF!</definedName>
    <definedName name="⑪_販売経費_10" localSheetId="2">[1]科目集計用!#REF!</definedName>
    <definedName name="⑪_販売経費_10">#REF!</definedName>
    <definedName name="⑪_販売経費_4" localSheetId="2">[1]収支入力!#REF!</definedName>
    <definedName name="⑪_販売経費_4">⑤支出!#REF!</definedName>
    <definedName name="⑪_販売経費_7" localSheetId="2">#REF!</definedName>
    <definedName name="⑪_販売経費_7">#REF!</definedName>
    <definedName name="⑫_共済掛金_10" localSheetId="2">[1]科目集計用!#REF!</definedName>
    <definedName name="⑫_共済掛金_10">#REF!</definedName>
    <definedName name="⑫_共済掛金_4" localSheetId="2">[1]収支入力!#REF!</definedName>
    <definedName name="⑫_共済掛金_4">⑤支出!#REF!</definedName>
    <definedName name="⑫_共済掛金_7" localSheetId="2">#REF!</definedName>
    <definedName name="⑫_共済掛金_7">#REF!</definedName>
    <definedName name="⑬_その他変動_10" localSheetId="2">[1]科目集計用!#REF!</definedName>
    <definedName name="⑬_その他変動_10">#REF!</definedName>
    <definedName name="⑬_その他変動_4" localSheetId="2">[1]収支入力!#REF!</definedName>
    <definedName name="⑬_その他変動_4">⑤支出!#REF!</definedName>
    <definedName name="⑬_その他変動_7" localSheetId="2">#REF!</definedName>
    <definedName name="⑬_その他変動_7">#REF!</definedName>
    <definedName name="EI_back" localSheetId="2">'Z-BFM'!$I$11:$I$28</definedName>
    <definedName name="EI_choice" localSheetId="2">'Z-BFM'!$L$27</definedName>
    <definedName name="EI_expense" localSheetId="2">'Z-BFM'!$C$16:$C$25</definedName>
    <definedName name="EI_front" localSheetId="2">'Z-BFM'!$F$11:$F$28</definedName>
    <definedName name="EI_landcoef" localSheetId="2">'Z-BFM'!$L$28</definedName>
    <definedName name="EI_landuse" localSheetId="2">'Z-BFM'!$L$11:$L$16</definedName>
    <definedName name="EI_outline" localSheetId="2">'Z-BFM'!$C$3:$E$8</definedName>
    <definedName name="EI_profit" localSheetId="2">'Z-BFM'!$C$27</definedName>
    <definedName name="EI_return" localSheetId="2">'Z-BFM'!$C$11:$C$14</definedName>
    <definedName name="Excel_BuiltIn__FilterDatabase_3">③労働時間!$A$4:$N$4</definedName>
    <definedName name="Excel_BuiltIn_Print_Titles_10" localSheetId="2">[1]科目集計用!#REF!</definedName>
    <definedName name="Excel_BuiltIn_Print_Titles_10">#REF!</definedName>
    <definedName name="GDATA" localSheetId="2">#REF!</definedName>
    <definedName name="GDATA">#REF!</definedName>
    <definedName name="GDATA_4" localSheetId="2">#REF!</definedName>
    <definedName name="GDATA_4">#REF!</definedName>
    <definedName name="GDATA_7" localSheetId="2">#REF!</definedName>
    <definedName name="GDATA_7">#REF!</definedName>
    <definedName name="_xlnm.Print_Area" localSheetId="3">①技術体系!$A$1:$E$24</definedName>
    <definedName name="_xlnm.Print_Area" localSheetId="5">③労働時間!$A$1:$O$195</definedName>
    <definedName name="_xlnm.Print_Area" localSheetId="6">④収入!$A$2:$H$22</definedName>
    <definedName name="_xlnm.Print_Area" localSheetId="7">⑤支出!$B$1:$W$160</definedName>
    <definedName name="_xlnm.Print_Area" localSheetId="9">科目設定!$A$1:$W$38</definedName>
    <definedName name="_xlnm.Print_Area" localSheetId="1">作業体系表!$B$1:$AN$44</definedName>
    <definedName name="_xlnm.Print_Titles" localSheetId="3">①技術体系!$1:$5</definedName>
    <definedName name="_xlnm.Print_Titles" localSheetId="5">③労働時間!$1:$4</definedName>
    <definedName name="_xlnm.Print_Titles" localSheetId="7">⑤支出!$1:$2</definedName>
    <definedName name="アメダスポイント名" localSheetId="2">[1]科目設定!$W$2:$W$16</definedName>
    <definedName name="アメダスポイント名">科目設定!$W$2:$W$16</definedName>
    <definedName name="科目" localSheetId="2">[1]科目設定!$C$1:$N$1</definedName>
    <definedName name="科目">科目設定!$C$1:$N$1</definedName>
    <definedName name="管理費用">科目設定!$N$2:$N$11</definedName>
    <definedName name="機械">②償却資産!$B$21:$B$27</definedName>
    <definedName name="機械能力">②償却資産!$D$21:$D$27</definedName>
    <definedName name="月旬" localSheetId="2">[1]科目設定!$P$2:$P$38</definedName>
    <definedName name="月旬">科目設定!$P$2:$P$38</definedName>
    <definedName name="原動機">'[2]算出根基３（減価償却費等）'!$C$14:$C$25</definedName>
    <definedName name="固定区分" localSheetId="2">[1]科目設定!$U$2:$U$4</definedName>
    <definedName name="固定区分">科目設定!$U$2:$U$4</definedName>
    <definedName name="固定費" localSheetId="2">[1]科目集計用!$I$111</definedName>
    <definedName name="固定費">#REF!</definedName>
    <definedName name="雇用労働費">科目設定!$L$2:$L$4</definedName>
    <definedName name="作業期間">'[2]算出根基２（労働時間他）'!$T$5:$T$42</definedName>
    <definedName name="作業機械・規格">'[2]算出根基３（減価償却費等）'!$D$14:$D$25</definedName>
    <definedName name="作業名">①技術体系!$A$6:$A$24</definedName>
    <definedName name="作業名_4" localSheetId="2">#REF!</definedName>
    <definedName name="作業名_4">#REF!</definedName>
    <definedName name="作業名_7" localSheetId="2">#REF!</definedName>
    <definedName name="作業名_7">#REF!</definedName>
    <definedName name="作業名2">[2]前提条件!$A$23:$A$49</definedName>
    <definedName name="種苗費">科目設定!$D$2:$D$5</definedName>
    <definedName name="諸材料費">科目設定!$H$2:$H$8</definedName>
    <definedName name="植付本数">科目設定!$Y$2:$Y$4</definedName>
    <definedName name="粗収益">科目設定!$C$2:$C$5</definedName>
    <definedName name="想定面積" localSheetId="2">[1]償却資産!$E$1</definedName>
    <definedName name="想定面積">②償却資産!$E$1</definedName>
    <definedName name="単位" localSheetId="2">[1]科目設定!$Q$2:$Q$32</definedName>
    <definedName name="単位">科目設定!$Q$2:$Q$35</definedName>
    <definedName name="賃借料・利用料">科目設定!$K$2:$K$6</definedName>
    <definedName name="土地改良・水利費">科目設定!$J$2:$J$4</definedName>
    <definedName name="動力・光熱費">科目設定!$G$2:$G$8</definedName>
    <definedName name="燃料">'[2]算出根基１（粗収益・物財費）'!$P$22:$P$28</definedName>
    <definedName name="燃料種類" localSheetId="2">[1]科目設定!$S$2:$S$8</definedName>
    <definedName name="燃料種類">科目設定!$S$2:$S$8</definedName>
    <definedName name="農業薬剤費">科目設定!$F$2:$F$8</definedName>
    <definedName name="農具費">科目設定!$I$2:$I$5</definedName>
    <definedName name="売上高" localSheetId="2">[1]科目集計用!$I$7</definedName>
    <definedName name="売上高">#REF!</definedName>
    <definedName name="販売費用">科目設定!$M$2:$M$7</definedName>
    <definedName name="肥料費">科目設定!$E$2:$E$8</definedName>
    <definedName name="変動費" localSheetId="2">[1]科目集計用!$I$110</definedName>
    <definedName name="変動費">#REF!</definedName>
    <definedName name="本">科目設定!$Z$2:$Z$4</definedName>
  </definedNames>
  <calcPr calcId="145621"/>
</workbook>
</file>

<file path=xl/calcChain.xml><?xml version="1.0" encoding="utf-8"?>
<calcChain xmlns="http://schemas.openxmlformats.org/spreadsheetml/2006/main">
  <c r="Q99" i="3" l="1"/>
  <c r="R99" i="3"/>
  <c r="Q134" i="3"/>
  <c r="R134" i="3"/>
  <c r="Q135" i="3"/>
  <c r="R135" i="3"/>
  <c r="Q136" i="3"/>
  <c r="R136" i="3"/>
  <c r="Q137" i="3"/>
  <c r="R137" i="3"/>
  <c r="Q138" i="3"/>
  <c r="R138" i="3"/>
  <c r="Q139" i="3"/>
  <c r="R139" i="3"/>
  <c r="Q140" i="3"/>
  <c r="R140" i="3"/>
  <c r="J71" i="3" l="1"/>
  <c r="Q71" i="3"/>
  <c r="J70" i="3"/>
  <c r="Q70" i="3"/>
  <c r="N71" i="3"/>
  <c r="R71" i="3"/>
  <c r="N70" i="3"/>
  <c r="R70" i="3"/>
  <c r="J131" i="3"/>
  <c r="Q131" i="3"/>
  <c r="N131" i="3"/>
  <c r="R131" i="3"/>
  <c r="J139" i="3" l="1"/>
  <c r="J134" i="3"/>
  <c r="J99" i="3"/>
  <c r="I59" i="4" l="1"/>
  <c r="J59" i="4"/>
  <c r="C59" i="4"/>
  <c r="C58" i="4"/>
  <c r="C57" i="4"/>
  <c r="D57" i="4" s="1"/>
  <c r="V59" i="4"/>
  <c r="U59" i="4"/>
  <c r="T59" i="4"/>
  <c r="O59" i="4"/>
  <c r="I61" i="4"/>
  <c r="J61" i="4" s="1"/>
  <c r="J57" i="4" l="1"/>
  <c r="I57" i="4"/>
  <c r="J32" i="3" l="1"/>
  <c r="R6" i="3"/>
  <c r="R7" i="3"/>
  <c r="R8" i="3"/>
  <c r="R9" i="3"/>
  <c r="R10" i="3"/>
  <c r="R11" i="3"/>
  <c r="R12" i="3"/>
  <c r="R13" i="3"/>
  <c r="R14" i="3"/>
  <c r="R15" i="3"/>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2" i="3"/>
  <c r="R73" i="3"/>
  <c r="R74" i="3"/>
  <c r="R75" i="3"/>
  <c r="R76" i="3"/>
  <c r="R77" i="3"/>
  <c r="R78" i="3"/>
  <c r="R79" i="3"/>
  <c r="R80" i="3"/>
  <c r="R81" i="3"/>
  <c r="R82" i="3"/>
  <c r="R83" i="3"/>
  <c r="R84" i="3"/>
  <c r="R85" i="3"/>
  <c r="R86" i="3"/>
  <c r="R87" i="3"/>
  <c r="R88" i="3"/>
  <c r="R89" i="3"/>
  <c r="R90" i="3"/>
  <c r="R91" i="3"/>
  <c r="R92" i="3"/>
  <c r="R93" i="3"/>
  <c r="R94" i="3"/>
  <c r="R95" i="3"/>
  <c r="R96" i="3"/>
  <c r="R97" i="3"/>
  <c r="R98" i="3"/>
  <c r="R100" i="3"/>
  <c r="R101" i="3"/>
  <c r="R102" i="3"/>
  <c r="R103" i="3"/>
  <c r="R104" i="3"/>
  <c r="R105" i="3"/>
  <c r="R106" i="3"/>
  <c r="R107" i="3"/>
  <c r="R108" i="3"/>
  <c r="R109" i="3"/>
  <c r="R110" i="3"/>
  <c r="R111" i="3"/>
  <c r="R112" i="3"/>
  <c r="R113" i="3"/>
  <c r="R114" i="3"/>
  <c r="R115" i="3"/>
  <c r="R116" i="3"/>
  <c r="R117" i="3"/>
  <c r="R118" i="3"/>
  <c r="R119" i="3"/>
  <c r="R120" i="3"/>
  <c r="R121" i="3"/>
  <c r="R122" i="3"/>
  <c r="R123" i="3"/>
  <c r="R124" i="3"/>
  <c r="R125" i="3"/>
  <c r="R126" i="3"/>
  <c r="R127" i="3"/>
  <c r="R128" i="3"/>
  <c r="R129" i="3"/>
  <c r="R130" i="3"/>
  <c r="R132" i="3"/>
  <c r="R133" i="3"/>
  <c r="R141" i="3"/>
  <c r="R142" i="3"/>
  <c r="R143" i="3"/>
  <c r="R144" i="3"/>
  <c r="R145" i="3"/>
  <c r="R146" i="3"/>
  <c r="R147" i="3"/>
  <c r="R148" i="3"/>
  <c r="R149" i="3"/>
  <c r="R150" i="3"/>
  <c r="R151" i="3"/>
  <c r="R152" i="3"/>
  <c r="R153" i="3"/>
  <c r="R154" i="3"/>
  <c r="R155" i="3"/>
  <c r="R156" i="3"/>
  <c r="R157" i="3"/>
  <c r="R158" i="3"/>
  <c r="R159" i="3"/>
  <c r="R160" i="3"/>
  <c r="R161" i="3"/>
  <c r="R162" i="3"/>
  <c r="R163" i="3"/>
  <c r="R164" i="3"/>
  <c r="R165" i="3"/>
  <c r="R166" i="3"/>
  <c r="R167" i="3"/>
  <c r="R168" i="3"/>
  <c r="R169" i="3"/>
  <c r="R170" i="3"/>
  <c r="R171" i="3"/>
  <c r="R172" i="3"/>
  <c r="R173" i="3"/>
  <c r="R174" i="3"/>
  <c r="R175" i="3"/>
  <c r="R176" i="3"/>
  <c r="R177" i="3"/>
  <c r="R178" i="3"/>
  <c r="R179" i="3"/>
  <c r="R180" i="3"/>
  <c r="R181" i="3"/>
  <c r="R182" i="3"/>
  <c r="R183" i="3"/>
  <c r="R184" i="3"/>
  <c r="R185" i="3"/>
  <c r="R186" i="3"/>
  <c r="R187" i="3"/>
  <c r="R188" i="3"/>
  <c r="R189" i="3"/>
  <c r="R190" i="3"/>
  <c r="R191" i="3"/>
  <c r="R192" i="3"/>
  <c r="R193" i="3"/>
  <c r="R194" i="3"/>
  <c r="R195" i="3"/>
  <c r="J106" i="3"/>
  <c r="Q6" i="3"/>
  <c r="Q7" i="3"/>
  <c r="Q8" i="3"/>
  <c r="Q9" i="3"/>
  <c r="Q10" i="3"/>
  <c r="Q11" i="3"/>
  <c r="Q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2" i="3"/>
  <c r="Q73" i="3"/>
  <c r="Q74" i="3"/>
  <c r="Q75" i="3"/>
  <c r="Q76" i="3"/>
  <c r="Q77" i="3"/>
  <c r="Q78" i="3"/>
  <c r="Q79" i="3"/>
  <c r="Q80" i="3"/>
  <c r="Q81" i="3"/>
  <c r="Q82" i="3"/>
  <c r="Q83" i="3"/>
  <c r="Q84" i="3"/>
  <c r="Q85" i="3"/>
  <c r="Q86" i="3"/>
  <c r="Q87" i="3"/>
  <c r="Q88" i="3"/>
  <c r="Q89" i="3"/>
  <c r="Q90" i="3"/>
  <c r="Q91" i="3"/>
  <c r="Q92" i="3"/>
  <c r="Q93" i="3"/>
  <c r="Q94" i="3"/>
  <c r="Q95" i="3"/>
  <c r="Q96" i="3"/>
  <c r="Q97" i="3"/>
  <c r="Q98" i="3"/>
  <c r="Q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27" i="3"/>
  <c r="Q128" i="3"/>
  <c r="Q129" i="3"/>
  <c r="Q130" i="3"/>
  <c r="Q132" i="3"/>
  <c r="Q133" i="3"/>
  <c r="Q141" i="3"/>
  <c r="Q142" i="3"/>
  <c r="Q143" i="3"/>
  <c r="Q144" i="3"/>
  <c r="Q145" i="3"/>
  <c r="Q146" i="3"/>
  <c r="Q147" i="3"/>
  <c r="Q148" i="3"/>
  <c r="Q149" i="3"/>
  <c r="Q150" i="3"/>
  <c r="Q151" i="3"/>
  <c r="Q152" i="3"/>
  <c r="Q153" i="3"/>
  <c r="Q154" i="3"/>
  <c r="Q155" i="3"/>
  <c r="Q156" i="3"/>
  <c r="Q157" i="3"/>
  <c r="Q158" i="3"/>
  <c r="Q159" i="3"/>
  <c r="Q160" i="3"/>
  <c r="Q161" i="3"/>
  <c r="Q162" i="3"/>
  <c r="Q163" i="3"/>
  <c r="Q164" i="3"/>
  <c r="Q165" i="3"/>
  <c r="Q166" i="3"/>
  <c r="Q167" i="3"/>
  <c r="Q168" i="3"/>
  <c r="Q169" i="3"/>
  <c r="Q170" i="3"/>
  <c r="Q171" i="3"/>
  <c r="Q172" i="3"/>
  <c r="Q173" i="3"/>
  <c r="Q174" i="3"/>
  <c r="Q175" i="3"/>
  <c r="Q176" i="3"/>
  <c r="Q177" i="3"/>
  <c r="Q178" i="3"/>
  <c r="Q179" i="3"/>
  <c r="Q180" i="3"/>
  <c r="Q181" i="3"/>
  <c r="Q182" i="3"/>
  <c r="Q183" i="3"/>
  <c r="Q184" i="3"/>
  <c r="Q185" i="3"/>
  <c r="Q186" i="3"/>
  <c r="Q187" i="3"/>
  <c r="Q188" i="3"/>
  <c r="Q189" i="3"/>
  <c r="Q190" i="3"/>
  <c r="Q191" i="3"/>
  <c r="Q192" i="3"/>
  <c r="Q193" i="3"/>
  <c r="Q194" i="3"/>
  <c r="Q195" i="3"/>
  <c r="I33" i="4" l="1"/>
  <c r="J33" i="4" s="1"/>
  <c r="N95" i="3" l="1"/>
  <c r="J95" i="3"/>
  <c r="J21" i="3"/>
  <c r="J18" i="3"/>
  <c r="J17" i="3"/>
  <c r="N20" i="3"/>
  <c r="J20" i="3"/>
  <c r="I65" i="4" l="1"/>
  <c r="J65" i="4" s="1"/>
  <c r="I11" i="4"/>
  <c r="J11" i="4" s="1"/>
  <c r="I13" i="4"/>
  <c r="J13" i="4" s="1"/>
  <c r="I74" i="4"/>
  <c r="J74" i="4" s="1"/>
  <c r="I15" i="4"/>
  <c r="J15" i="4" s="1"/>
  <c r="N11" i="2"/>
  <c r="O11" i="2" s="1"/>
  <c r="P11" i="2" s="1"/>
  <c r="Q11" i="2" s="1"/>
  <c r="K11" i="2"/>
  <c r="L11" i="2" s="1"/>
  <c r="I23" i="4" l="1"/>
  <c r="J23" i="4" s="1"/>
  <c r="I24" i="4"/>
  <c r="J24" i="4" s="1"/>
  <c r="I25" i="4"/>
  <c r="J25" i="4" s="1"/>
  <c r="I26" i="4"/>
  <c r="J26" i="4" s="1"/>
  <c r="I27" i="4"/>
  <c r="J27" i="4" s="1"/>
  <c r="I28" i="4"/>
  <c r="J28" i="4" s="1"/>
  <c r="I29" i="4"/>
  <c r="J29" i="4" s="1"/>
  <c r="I30" i="4"/>
  <c r="J30" i="4" s="1"/>
  <c r="I34" i="4"/>
  <c r="J34" i="4"/>
  <c r="I10" i="4"/>
  <c r="J10" i="4" s="1"/>
  <c r="J50" i="3" l="1"/>
  <c r="J125" i="3"/>
  <c r="J123" i="3"/>
  <c r="N125" i="3"/>
  <c r="N123" i="3"/>
  <c r="J96" i="3"/>
  <c r="N96" i="3"/>
  <c r="N94" i="3"/>
  <c r="J94" i="3"/>
  <c r="N88" i="3"/>
  <c r="J88" i="3"/>
  <c r="N92" i="3"/>
  <c r="J92" i="3"/>
  <c r="N90" i="3"/>
  <c r="J90" i="3"/>
  <c r="N19" i="3"/>
  <c r="J19" i="3"/>
  <c r="J66" i="3"/>
  <c r="N66" i="3"/>
  <c r="J24" i="3"/>
  <c r="N24" i="3"/>
  <c r="N85" i="3"/>
  <c r="J85" i="3"/>
  <c r="J6" i="3"/>
  <c r="N6" i="3"/>
  <c r="J9" i="3"/>
  <c r="N9" i="3"/>
  <c r="N14" i="3" l="1"/>
  <c r="J14" i="3"/>
  <c r="N13" i="3"/>
  <c r="J13" i="3"/>
  <c r="N12" i="3"/>
  <c r="J12" i="3"/>
  <c r="N11" i="3"/>
  <c r="J11" i="3"/>
  <c r="N8" i="3"/>
  <c r="J8" i="3"/>
  <c r="N7" i="3"/>
  <c r="J7" i="3"/>
  <c r="N10" i="3"/>
  <c r="J10" i="3"/>
  <c r="R5" i="3"/>
  <c r="Q5" i="3"/>
  <c r="AB28" i="5" s="1"/>
  <c r="N5" i="3"/>
  <c r="J5" i="3"/>
  <c r="AJ28" i="5" l="1"/>
  <c r="AF28" i="5"/>
  <c r="AL28" i="5"/>
  <c r="AK28" i="5"/>
  <c r="AG28" i="5"/>
  <c r="AC28" i="5"/>
  <c r="Y28" i="5"/>
  <c r="V28" i="5"/>
  <c r="R28" i="5"/>
  <c r="K28" i="5"/>
  <c r="G28" i="5"/>
  <c r="AE28" i="5"/>
  <c r="Z28" i="5"/>
  <c r="U28" i="5"/>
  <c r="P28" i="5"/>
  <c r="M28" i="5"/>
  <c r="H28" i="5"/>
  <c r="AM28" i="5"/>
  <c r="AD28" i="5"/>
  <c r="T28" i="5"/>
  <c r="O28" i="5"/>
  <c r="L28" i="5"/>
  <c r="F28" i="5"/>
  <c r="AI28" i="5"/>
  <c r="X28" i="5"/>
  <c r="S28" i="5"/>
  <c r="J28" i="5"/>
  <c r="E28" i="5"/>
  <c r="AH28" i="5"/>
  <c r="Q28" i="5"/>
  <c r="D28" i="5"/>
  <c r="AA28" i="5"/>
  <c r="N28" i="5"/>
  <c r="W28" i="5"/>
  <c r="I28" i="5"/>
  <c r="AJ29" i="5"/>
  <c r="AF29" i="5"/>
  <c r="AB29" i="5"/>
  <c r="X29" i="5"/>
  <c r="T29" i="5"/>
  <c r="P29" i="5"/>
  <c r="L29" i="5"/>
  <c r="H29" i="5"/>
  <c r="D29" i="5"/>
  <c r="AI29" i="5"/>
  <c r="AM29" i="5"/>
  <c r="AH29" i="5"/>
  <c r="AD29" i="5"/>
  <c r="Z29" i="5"/>
  <c r="V29" i="5"/>
  <c r="R29" i="5"/>
  <c r="N29" i="5"/>
  <c r="J29" i="5"/>
  <c r="F29" i="5"/>
  <c r="AK29" i="5"/>
  <c r="AG29" i="5"/>
  <c r="AC29" i="5"/>
  <c r="Y29" i="5"/>
  <c r="U29" i="5"/>
  <c r="Q29" i="5"/>
  <c r="M29" i="5"/>
  <c r="I29" i="5"/>
  <c r="E29" i="5"/>
  <c r="W29" i="5"/>
  <c r="G29" i="5"/>
  <c r="S29" i="5"/>
  <c r="AE29" i="5"/>
  <c r="O29" i="5"/>
  <c r="AA29" i="5"/>
  <c r="K29" i="5"/>
  <c r="AL29" i="5"/>
  <c r="G22" i="7"/>
  <c r="V145" i="4" l="1"/>
  <c r="U145" i="4"/>
  <c r="T145" i="4"/>
  <c r="O145" i="4"/>
  <c r="I145" i="4"/>
  <c r="J145" i="4" s="1"/>
  <c r="AN35" i="5" l="1"/>
  <c r="D39" i="5" s="1"/>
  <c r="AN34" i="5"/>
  <c r="C6" i="19" l="1"/>
  <c r="V116" i="4" l="1"/>
  <c r="U116" i="4"/>
  <c r="T116" i="4"/>
  <c r="O116" i="4"/>
  <c r="J116" i="4"/>
  <c r="I116" i="4"/>
  <c r="J115" i="4"/>
  <c r="I115" i="4"/>
  <c r="V114" i="4"/>
  <c r="U114" i="4"/>
  <c r="T114" i="4"/>
  <c r="O114" i="4"/>
  <c r="J114" i="4"/>
  <c r="I114" i="4"/>
  <c r="V113" i="4"/>
  <c r="U113" i="4"/>
  <c r="T113" i="4"/>
  <c r="O113" i="4"/>
  <c r="V112" i="4"/>
  <c r="U112" i="4"/>
  <c r="T112" i="4"/>
  <c r="O112" i="4"/>
  <c r="G28" i="7"/>
  <c r="J159" i="4" l="1"/>
  <c r="J158" i="4"/>
  <c r="J157" i="4"/>
  <c r="J156" i="4"/>
  <c r="J155" i="4"/>
  <c r="J154" i="4"/>
  <c r="J153" i="4"/>
  <c r="J147" i="4"/>
  <c r="J146" i="4"/>
  <c r="J142" i="4"/>
  <c r="J141" i="4"/>
  <c r="J140" i="4"/>
  <c r="J139" i="4"/>
  <c r="J137" i="4"/>
  <c r="J136" i="4"/>
  <c r="J132" i="4"/>
  <c r="J131" i="4"/>
  <c r="J130" i="4"/>
  <c r="J129" i="4"/>
  <c r="J127" i="4"/>
  <c r="J126" i="4"/>
  <c r="J125" i="4"/>
  <c r="J124" i="4"/>
  <c r="J110" i="4"/>
  <c r="J109" i="4"/>
  <c r="J108" i="4"/>
  <c r="J107" i="4"/>
  <c r="J106" i="4"/>
  <c r="J104" i="4"/>
  <c r="J103" i="4"/>
  <c r="J102" i="4"/>
  <c r="J101" i="4"/>
  <c r="J99" i="4"/>
  <c r="J98" i="4"/>
  <c r="J97" i="4"/>
  <c r="J96" i="4"/>
  <c r="J95" i="4"/>
  <c r="J94" i="4"/>
  <c r="J92" i="4"/>
  <c r="J91" i="4"/>
  <c r="J90" i="4"/>
  <c r="J89" i="4"/>
  <c r="J88" i="4"/>
  <c r="J87" i="4"/>
  <c r="J86" i="4"/>
  <c r="J85" i="4"/>
  <c r="J84" i="4"/>
  <c r="J83" i="4"/>
  <c r="J82" i="4"/>
  <c r="J81" i="4"/>
  <c r="J80" i="4"/>
  <c r="J79" i="4"/>
  <c r="J49" i="4"/>
  <c r="J48" i="4"/>
  <c r="J47" i="4"/>
  <c r="J46" i="4"/>
  <c r="J45" i="4"/>
  <c r="J44" i="4"/>
  <c r="J43" i="4"/>
  <c r="J42" i="4"/>
  <c r="J41" i="4"/>
  <c r="J40" i="4"/>
  <c r="J39" i="4"/>
  <c r="J38" i="4"/>
  <c r="J37" i="4"/>
  <c r="J36" i="4"/>
  <c r="J35" i="4"/>
  <c r="J20" i="4"/>
  <c r="J7" i="4"/>
  <c r="J6" i="4"/>
  <c r="J5" i="4"/>
  <c r="I9" i="4"/>
  <c r="J9" i="4" s="1"/>
  <c r="I12" i="4"/>
  <c r="J12" i="4" s="1"/>
  <c r="I14" i="4"/>
  <c r="J14" i="4" s="1"/>
  <c r="AN28" i="5" l="1"/>
  <c r="J100" i="4"/>
  <c r="J133" i="4"/>
  <c r="J143" i="4"/>
  <c r="J105" i="4"/>
  <c r="J111" i="4"/>
  <c r="J21" i="4"/>
  <c r="I127" i="4"/>
  <c r="I126" i="4"/>
  <c r="I125" i="4"/>
  <c r="I124" i="4"/>
  <c r="I123" i="4"/>
  <c r="J123" i="4" s="1"/>
  <c r="I122" i="4"/>
  <c r="J122" i="4" s="1"/>
  <c r="I121" i="4"/>
  <c r="J121" i="4" s="1"/>
  <c r="I120" i="4"/>
  <c r="J120" i="4" s="1"/>
  <c r="I119" i="4"/>
  <c r="J119" i="4" s="1"/>
  <c r="I118" i="4"/>
  <c r="J118" i="4" s="1"/>
  <c r="F21" i="21"/>
  <c r="E21" i="21"/>
  <c r="D20" i="21"/>
  <c r="I150" i="4"/>
  <c r="J150" i="4" s="1"/>
  <c r="I151" i="4"/>
  <c r="J151" i="4" s="1"/>
  <c r="I152" i="4"/>
  <c r="J152" i="4" s="1"/>
  <c r="I153" i="4"/>
  <c r="I154" i="4"/>
  <c r="I155" i="4"/>
  <c r="I156" i="4"/>
  <c r="I157" i="4"/>
  <c r="I158" i="4"/>
  <c r="I159" i="4"/>
  <c r="I149" i="4"/>
  <c r="J149" i="4" s="1"/>
  <c r="J128" i="4" l="1"/>
  <c r="I147" i="4"/>
  <c r="I146" i="4"/>
  <c r="I144" i="4"/>
  <c r="J144" i="4" s="1"/>
  <c r="J148" i="4" s="1"/>
  <c r="I142" i="4"/>
  <c r="I141" i="4"/>
  <c r="I140" i="4"/>
  <c r="I139" i="4"/>
  <c r="I137" i="4"/>
  <c r="I136" i="4"/>
  <c r="I135" i="4"/>
  <c r="J135" i="4" s="1"/>
  <c r="I134" i="4"/>
  <c r="J134" i="4" s="1"/>
  <c r="I132" i="4"/>
  <c r="I131" i="4"/>
  <c r="I130" i="4"/>
  <c r="I129" i="4"/>
  <c r="I110" i="4"/>
  <c r="I109" i="4"/>
  <c r="I108" i="4"/>
  <c r="I107" i="4"/>
  <c r="I106" i="4"/>
  <c r="I104" i="4"/>
  <c r="I103" i="4"/>
  <c r="I102" i="4"/>
  <c r="I101" i="4"/>
  <c r="I99" i="4"/>
  <c r="I98" i="4"/>
  <c r="I97" i="4"/>
  <c r="I96" i="4"/>
  <c r="I95" i="4"/>
  <c r="I94" i="4"/>
  <c r="I92" i="4"/>
  <c r="I91" i="4"/>
  <c r="I90" i="4"/>
  <c r="I89" i="4"/>
  <c r="I88" i="4"/>
  <c r="I87" i="4"/>
  <c r="I86" i="4"/>
  <c r="I85" i="4"/>
  <c r="I84" i="4"/>
  <c r="I83" i="4"/>
  <c r="I82" i="4"/>
  <c r="I81" i="4"/>
  <c r="I80" i="4"/>
  <c r="I79" i="4"/>
  <c r="I78" i="4"/>
  <c r="J78" i="4" s="1"/>
  <c r="I77" i="4"/>
  <c r="J77" i="4" s="1"/>
  <c r="I76" i="4"/>
  <c r="J76" i="4" s="1"/>
  <c r="I75" i="4"/>
  <c r="J75" i="4" s="1"/>
  <c r="I73" i="4"/>
  <c r="J73" i="4" s="1"/>
  <c r="I72" i="4"/>
  <c r="J72" i="4" s="1"/>
  <c r="I71" i="4"/>
  <c r="J71" i="4" s="1"/>
  <c r="I70" i="4"/>
  <c r="J70" i="4" s="1"/>
  <c r="I69" i="4"/>
  <c r="J69" i="4" s="1"/>
  <c r="I68" i="4"/>
  <c r="J68" i="4" s="1"/>
  <c r="I67" i="4"/>
  <c r="J67" i="4" s="1"/>
  <c r="I66" i="4"/>
  <c r="J66" i="4" s="1"/>
  <c r="I64" i="4"/>
  <c r="J64" i="4" s="1"/>
  <c r="I63" i="4"/>
  <c r="J63" i="4" s="1"/>
  <c r="I62" i="4"/>
  <c r="J62" i="4" s="1"/>
  <c r="I49" i="4"/>
  <c r="I48" i="4"/>
  <c r="I47" i="4"/>
  <c r="I46" i="4"/>
  <c r="I45" i="4"/>
  <c r="I44" i="4"/>
  <c r="I43" i="4"/>
  <c r="I42" i="4"/>
  <c r="I41" i="4"/>
  <c r="I40" i="4"/>
  <c r="I39" i="4"/>
  <c r="I38" i="4"/>
  <c r="I37" i="4"/>
  <c r="I36" i="4"/>
  <c r="I35" i="4"/>
  <c r="I22" i="4"/>
  <c r="J22" i="4" s="1"/>
  <c r="I20" i="4"/>
  <c r="I5" i="4"/>
  <c r="I6" i="4"/>
  <c r="I7" i="4"/>
  <c r="I3" i="4"/>
  <c r="J3" i="4" s="1"/>
  <c r="B22" i="5"/>
  <c r="B23" i="5"/>
  <c r="B24" i="5"/>
  <c r="B25" i="5"/>
  <c r="B26" i="5"/>
  <c r="B27" i="5"/>
  <c r="J138" i="4" l="1"/>
  <c r="E32" i="7" s="1"/>
  <c r="J8" i="4"/>
  <c r="J50" i="4"/>
  <c r="J93" i="4"/>
  <c r="G27" i="7"/>
  <c r="G26" i="7"/>
  <c r="J160" i="4"/>
  <c r="E35" i="7" s="1"/>
  <c r="V147" i="4"/>
  <c r="U147" i="4"/>
  <c r="T147" i="4"/>
  <c r="O147" i="4"/>
  <c r="V144" i="4"/>
  <c r="U144" i="4"/>
  <c r="T144" i="4"/>
  <c r="O144" i="4"/>
  <c r="E34" i="7"/>
  <c r="V142" i="4"/>
  <c r="U142" i="4"/>
  <c r="T142" i="4"/>
  <c r="O142" i="4"/>
  <c r="V140" i="4"/>
  <c r="U140" i="4"/>
  <c r="T140" i="4"/>
  <c r="O140" i="4"/>
  <c r="V139" i="4"/>
  <c r="U139" i="4"/>
  <c r="T139" i="4"/>
  <c r="O139" i="4"/>
  <c r="E33" i="7"/>
  <c r="V137" i="4"/>
  <c r="U137" i="4"/>
  <c r="T137" i="4"/>
  <c r="O137" i="4"/>
  <c r="V135" i="4"/>
  <c r="U135" i="4"/>
  <c r="T135" i="4"/>
  <c r="O135" i="4"/>
  <c r="V134" i="4"/>
  <c r="U134" i="4"/>
  <c r="T134" i="4"/>
  <c r="O134" i="4"/>
  <c r="V132" i="4"/>
  <c r="U132" i="4"/>
  <c r="T132" i="4"/>
  <c r="O132" i="4"/>
  <c r="V130" i="4"/>
  <c r="U130" i="4"/>
  <c r="T130" i="4"/>
  <c r="O130" i="4"/>
  <c r="V129" i="4"/>
  <c r="U129" i="4"/>
  <c r="T129" i="4"/>
  <c r="O129" i="4"/>
  <c r="E31" i="7"/>
  <c r="V104" i="4"/>
  <c r="U104" i="4"/>
  <c r="T104" i="4"/>
  <c r="O104" i="4"/>
  <c r="V102" i="4"/>
  <c r="U102" i="4"/>
  <c r="T102" i="4"/>
  <c r="O102" i="4"/>
  <c r="V101" i="4"/>
  <c r="U101" i="4"/>
  <c r="T101" i="4"/>
  <c r="O101" i="4"/>
  <c r="G25" i="7"/>
  <c r="G24" i="7"/>
  <c r="G20" i="21"/>
  <c r="E5" i="7"/>
  <c r="B21" i="21"/>
  <c r="B21" i="5"/>
  <c r="B20" i="5"/>
  <c r="B19" i="5"/>
  <c r="B18" i="5"/>
  <c r="B17" i="5"/>
  <c r="B16" i="5"/>
  <c r="B15" i="5"/>
  <c r="B14" i="5"/>
  <c r="B13" i="5"/>
  <c r="B12" i="5"/>
  <c r="B11" i="5"/>
  <c r="B10" i="5"/>
  <c r="B9" i="5"/>
  <c r="C13" i="19" l="1"/>
  <c r="E4" i="7"/>
  <c r="E13" i="7"/>
  <c r="C11" i="19" l="1"/>
  <c r="C5" i="19"/>
  <c r="C4" i="19"/>
  <c r="E27" i="7"/>
  <c r="E26" i="7"/>
  <c r="E25" i="7"/>
  <c r="E24" i="7"/>
  <c r="D8" i="21" l="1"/>
  <c r="D9" i="21"/>
  <c r="G9" i="21" s="1"/>
  <c r="D10" i="21"/>
  <c r="G10" i="21" s="1"/>
  <c r="D11" i="21"/>
  <c r="G11" i="21" s="1"/>
  <c r="D12" i="21"/>
  <c r="G12" i="21" s="1"/>
  <c r="D13" i="21"/>
  <c r="G13" i="21" s="1"/>
  <c r="D18" i="21"/>
  <c r="G18" i="21" s="1"/>
  <c r="D17" i="21"/>
  <c r="G17" i="21" s="1"/>
  <c r="D16" i="21"/>
  <c r="G16" i="21" s="1"/>
  <c r="D14" i="21"/>
  <c r="G14" i="21" s="1"/>
  <c r="C32" i="5"/>
  <c r="C52" i="4"/>
  <c r="D52" i="4" s="1"/>
  <c r="J52" i="4" s="1"/>
  <c r="C53" i="4"/>
  <c r="D53" i="4" s="1"/>
  <c r="J53" i="4" s="1"/>
  <c r="C54" i="4"/>
  <c r="D54" i="4" s="1"/>
  <c r="J54" i="4" s="1"/>
  <c r="C55" i="4"/>
  <c r="D55" i="4" s="1"/>
  <c r="J55" i="4" s="1"/>
  <c r="C56" i="4"/>
  <c r="D56" i="4" s="1"/>
  <c r="J56" i="4" s="1"/>
  <c r="C51" i="4"/>
  <c r="N16" i="3"/>
  <c r="N23" i="3"/>
  <c r="N25" i="3"/>
  <c r="N26" i="3"/>
  <c r="N27" i="3"/>
  <c r="N148" i="3"/>
  <c r="N149" i="3"/>
  <c r="N29" i="3"/>
  <c r="N33" i="3"/>
  <c r="N73" i="3"/>
  <c r="N39" i="3"/>
  <c r="N74" i="3"/>
  <c r="N40" i="3"/>
  <c r="N45" i="3"/>
  <c r="N35" i="3"/>
  <c r="N75" i="3"/>
  <c r="N36" i="3"/>
  <c r="N46" i="3"/>
  <c r="N41" i="3"/>
  <c r="N76" i="3"/>
  <c r="N37" i="3"/>
  <c r="N47" i="3"/>
  <c r="N42" i="3"/>
  <c r="N30" i="3"/>
  <c r="N77" i="3"/>
  <c r="N43" i="3"/>
  <c r="N48" i="3"/>
  <c r="N78" i="3"/>
  <c r="N67" i="3"/>
  <c r="N68" i="3"/>
  <c r="N79" i="3"/>
  <c r="N51" i="3"/>
  <c r="N80" i="3"/>
  <c r="N52" i="3"/>
  <c r="N69" i="3"/>
  <c r="N53" i="3"/>
  <c r="N81" i="3"/>
  <c r="N54" i="3"/>
  <c r="N83" i="3"/>
  <c r="N107" i="3"/>
  <c r="N103" i="3"/>
  <c r="N127" i="3"/>
  <c r="N114" i="3"/>
  <c r="N101" i="3"/>
  <c r="N121" i="3"/>
  <c r="N115" i="3"/>
  <c r="N128" i="3"/>
  <c r="N122" i="3"/>
  <c r="N129" i="3"/>
  <c r="N109" i="3"/>
  <c r="N110" i="3"/>
  <c r="N116" i="3"/>
  <c r="N117" i="3"/>
  <c r="N133" i="3"/>
  <c r="N169" i="3"/>
  <c r="N141" i="3"/>
  <c r="N130" i="3"/>
  <c r="N124" i="3"/>
  <c r="N111" i="3"/>
  <c r="N112" i="3"/>
  <c r="N118" i="3"/>
  <c r="N119" i="3"/>
  <c r="N142" i="3"/>
  <c r="N104" i="3"/>
  <c r="N135" i="3"/>
  <c r="N143" i="3"/>
  <c r="N136" i="3"/>
  <c r="N144" i="3"/>
  <c r="N137" i="3"/>
  <c r="N145" i="3"/>
  <c r="N138" i="3"/>
  <c r="N146" i="3"/>
  <c r="N147" i="3"/>
  <c r="N156" i="3"/>
  <c r="N164" i="3"/>
  <c r="N154" i="3"/>
  <c r="N162" i="3"/>
  <c r="N155" i="3"/>
  <c r="N163" i="3"/>
  <c r="N167" i="3"/>
  <c r="N157" i="3"/>
  <c r="N165" i="3"/>
  <c r="N91" i="3"/>
  <c r="N87" i="3"/>
  <c r="N89" i="3"/>
  <c r="N97" i="3"/>
  <c r="N57" i="3"/>
  <c r="N62" i="3"/>
  <c r="N93" i="3"/>
  <c r="N56" i="3"/>
  <c r="N61" i="3"/>
  <c r="N58" i="3"/>
  <c r="N63" i="3"/>
  <c r="N98" i="3"/>
  <c r="N59" i="3"/>
  <c r="N64" i="3"/>
  <c r="N153" i="3"/>
  <c r="N161" i="3"/>
  <c r="N151" i="3"/>
  <c r="N159" i="3"/>
  <c r="N152" i="3"/>
  <c r="N160"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5" i="3"/>
  <c r="J16" i="3"/>
  <c r="J23" i="3"/>
  <c r="J25" i="3"/>
  <c r="J26" i="3"/>
  <c r="J27" i="3"/>
  <c r="J148" i="3"/>
  <c r="J149" i="3"/>
  <c r="J29" i="3"/>
  <c r="J33" i="3"/>
  <c r="J73" i="3"/>
  <c r="J39" i="3"/>
  <c r="J74" i="3"/>
  <c r="J40" i="3"/>
  <c r="J45" i="3"/>
  <c r="J35" i="3"/>
  <c r="J75" i="3"/>
  <c r="J36" i="3"/>
  <c r="J46" i="3"/>
  <c r="J41" i="3"/>
  <c r="J76" i="3"/>
  <c r="J37" i="3"/>
  <c r="J47" i="3"/>
  <c r="J42" i="3"/>
  <c r="J30" i="3"/>
  <c r="J77" i="3"/>
  <c r="J43" i="3"/>
  <c r="J48" i="3"/>
  <c r="J78" i="3"/>
  <c r="J67" i="3"/>
  <c r="J68" i="3"/>
  <c r="J79" i="3"/>
  <c r="J51" i="3"/>
  <c r="J80" i="3"/>
  <c r="J52" i="3"/>
  <c r="J69" i="3"/>
  <c r="J53" i="3"/>
  <c r="J81" i="3"/>
  <c r="J54" i="3"/>
  <c r="J83" i="3"/>
  <c r="J107" i="3"/>
  <c r="J103" i="3"/>
  <c r="J127" i="3"/>
  <c r="J114" i="3"/>
  <c r="J101" i="3"/>
  <c r="J121" i="3"/>
  <c r="J115" i="3"/>
  <c r="J128" i="3"/>
  <c r="J122" i="3"/>
  <c r="J129" i="3"/>
  <c r="J109" i="3"/>
  <c r="J110" i="3"/>
  <c r="J116" i="3"/>
  <c r="J117" i="3"/>
  <c r="J133" i="3"/>
  <c r="J169" i="3"/>
  <c r="J141" i="3"/>
  <c r="J130" i="3"/>
  <c r="J124" i="3"/>
  <c r="J111" i="3"/>
  <c r="J112" i="3"/>
  <c r="J118" i="3"/>
  <c r="J119" i="3"/>
  <c r="J142" i="3"/>
  <c r="J104" i="3"/>
  <c r="J135" i="3"/>
  <c r="J143" i="3"/>
  <c r="J136" i="3"/>
  <c r="J144" i="3"/>
  <c r="J137" i="3"/>
  <c r="J145" i="3"/>
  <c r="J138" i="3"/>
  <c r="J146" i="3"/>
  <c r="J147" i="3"/>
  <c r="J156" i="3"/>
  <c r="J164" i="3"/>
  <c r="J154" i="3"/>
  <c r="J162" i="3"/>
  <c r="J155" i="3"/>
  <c r="J163" i="3"/>
  <c r="J167" i="3"/>
  <c r="J157" i="3"/>
  <c r="J165" i="3"/>
  <c r="J91" i="3"/>
  <c r="J87" i="3"/>
  <c r="J89" i="3"/>
  <c r="J97" i="3"/>
  <c r="J57" i="3"/>
  <c r="J62" i="3"/>
  <c r="J93" i="3"/>
  <c r="J56" i="3"/>
  <c r="J61" i="3"/>
  <c r="J58" i="3"/>
  <c r="J63" i="3"/>
  <c r="J98" i="3"/>
  <c r="J59" i="3"/>
  <c r="J64" i="3"/>
  <c r="J153" i="3"/>
  <c r="J161" i="3"/>
  <c r="J151" i="3"/>
  <c r="J159" i="3"/>
  <c r="J152" i="3"/>
  <c r="J160"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5" i="3"/>
  <c r="E7" i="7"/>
  <c r="C16" i="19" s="1"/>
  <c r="E8" i="7"/>
  <c r="C17" i="19" s="1"/>
  <c r="D25" i="5" l="1"/>
  <c r="T25" i="5"/>
  <c r="AJ25" i="5"/>
  <c r="Y25" i="5"/>
  <c r="J25" i="5"/>
  <c r="AE25" i="5"/>
  <c r="Q25" i="5"/>
  <c r="AL25" i="5"/>
  <c r="AH25" i="5"/>
  <c r="D24" i="5"/>
  <c r="T24" i="5"/>
  <c r="AJ24" i="5"/>
  <c r="W24" i="5"/>
  <c r="I24" i="5"/>
  <c r="AD24" i="5"/>
  <c r="O24" i="5"/>
  <c r="AK24" i="5"/>
  <c r="AG24" i="5"/>
  <c r="D27" i="5"/>
  <c r="T27" i="5"/>
  <c r="AJ27" i="5"/>
  <c r="V27" i="5"/>
  <c r="G27" i="5"/>
  <c r="AC27" i="5"/>
  <c r="N27" i="5"/>
  <c r="AI27" i="5"/>
  <c r="AE27" i="5"/>
  <c r="G23" i="5"/>
  <c r="H23" i="5"/>
  <c r="X23" i="5"/>
  <c r="I23" i="5"/>
  <c r="AG23" i="5"/>
  <c r="W23" i="5"/>
  <c r="E23" i="5"/>
  <c r="AD23" i="5"/>
  <c r="Z23" i="5"/>
  <c r="D26" i="5"/>
  <c r="T26" i="5"/>
  <c r="AJ26" i="5"/>
  <c r="U26" i="5"/>
  <c r="F26" i="5"/>
  <c r="AA26" i="5"/>
  <c r="M26" i="5"/>
  <c r="AH26" i="5"/>
  <c r="AD26" i="5"/>
  <c r="G22" i="5"/>
  <c r="W22" i="5"/>
  <c r="AM22" i="5"/>
  <c r="P22" i="5"/>
  <c r="AF22" i="5"/>
  <c r="U22" i="5"/>
  <c r="N22" i="5"/>
  <c r="I22" i="5"/>
  <c r="R22" i="5"/>
  <c r="AK23" i="5"/>
  <c r="H26" i="5"/>
  <c r="E26" i="5"/>
  <c r="Z26" i="5"/>
  <c r="AG26" i="5"/>
  <c r="AM26" i="5"/>
  <c r="I26" i="5"/>
  <c r="AA22" i="5"/>
  <c r="D22" i="5"/>
  <c r="AJ22" i="5"/>
  <c r="AC22" i="5"/>
  <c r="Q22" i="5"/>
  <c r="N25" i="5"/>
  <c r="AI25" i="5"/>
  <c r="U25" i="5"/>
  <c r="AA25" i="5"/>
  <c r="R25" i="5"/>
  <c r="L24" i="5"/>
  <c r="M24" i="5"/>
  <c r="AH24" i="5"/>
  <c r="E24" i="5"/>
  <c r="Q24" i="5"/>
  <c r="V24" i="5"/>
  <c r="AB27" i="5"/>
  <c r="K27" i="5"/>
  <c r="R27" i="5"/>
  <c r="Y27" i="5"/>
  <c r="J27" i="5"/>
  <c r="O23" i="5"/>
  <c r="H25" i="5"/>
  <c r="X25" i="5"/>
  <c r="I25" i="5"/>
  <c r="AD25" i="5"/>
  <c r="O25" i="5"/>
  <c r="AK25" i="5"/>
  <c r="V25" i="5"/>
  <c r="G25" i="5"/>
  <c r="AM25" i="5"/>
  <c r="H24" i="5"/>
  <c r="X24" i="5"/>
  <c r="G24" i="5"/>
  <c r="AC24" i="5"/>
  <c r="N24" i="5"/>
  <c r="AI24" i="5"/>
  <c r="U24" i="5"/>
  <c r="F24" i="5"/>
  <c r="K24" i="5"/>
  <c r="H27" i="5"/>
  <c r="X27" i="5"/>
  <c r="F27" i="5"/>
  <c r="AA27" i="5"/>
  <c r="M27" i="5"/>
  <c r="AH27" i="5"/>
  <c r="S27" i="5"/>
  <c r="E27" i="5"/>
  <c r="AK27" i="5"/>
  <c r="K23" i="5"/>
  <c r="L23" i="5"/>
  <c r="AB23" i="5"/>
  <c r="Q23" i="5"/>
  <c r="AL23" i="5"/>
  <c r="AC23" i="5"/>
  <c r="M23" i="5"/>
  <c r="AI23" i="5"/>
  <c r="X26" i="5"/>
  <c r="K26" i="5"/>
  <c r="R26" i="5"/>
  <c r="K22" i="5"/>
  <c r="T22" i="5"/>
  <c r="V22" i="5"/>
  <c r="Z22" i="5"/>
  <c r="F25" i="5"/>
  <c r="M25" i="5"/>
  <c r="AB24" i="5"/>
  <c r="S24" i="5"/>
  <c r="Z24" i="5"/>
  <c r="L27" i="5"/>
  <c r="AG27" i="5"/>
  <c r="AM27" i="5"/>
  <c r="O27" i="5"/>
  <c r="P23" i="5"/>
  <c r="L25" i="5"/>
  <c r="AB25" i="5"/>
  <c r="P25" i="5"/>
  <c r="AF25" i="5"/>
  <c r="S25" i="5"/>
  <c r="E25" i="5"/>
  <c r="Z25" i="5"/>
  <c r="K25" i="5"/>
  <c r="AG25" i="5"/>
  <c r="W25" i="5"/>
  <c r="AC25" i="5"/>
  <c r="P24" i="5"/>
  <c r="AF24" i="5"/>
  <c r="R24" i="5"/>
  <c r="AM24" i="5"/>
  <c r="Y24" i="5"/>
  <c r="J24" i="5"/>
  <c r="AE24" i="5"/>
  <c r="AA24" i="5"/>
  <c r="AL24" i="5"/>
  <c r="P27" i="5"/>
  <c r="AF27" i="5"/>
  <c r="Q27" i="5"/>
  <c r="AL27" i="5"/>
  <c r="W27" i="5"/>
  <c r="I27" i="5"/>
  <c r="AD27" i="5"/>
  <c r="U27" i="5"/>
  <c r="Z27" i="5"/>
  <c r="D23" i="5"/>
  <c r="T23" i="5"/>
  <c r="AJ23" i="5"/>
  <c r="AA23" i="5"/>
  <c r="R23" i="5"/>
  <c r="AM23" i="5"/>
  <c r="Y23" i="5"/>
  <c r="N23" i="5"/>
  <c r="AE23" i="5"/>
  <c r="P26" i="5"/>
  <c r="AF26" i="5"/>
  <c r="O26" i="5"/>
  <c r="AK26" i="5"/>
  <c r="V26" i="5"/>
  <c r="G26" i="5"/>
  <c r="AC26" i="5"/>
  <c r="Y26" i="5"/>
  <c r="AI26" i="5"/>
  <c r="S22" i="5"/>
  <c r="AI22" i="5"/>
  <c r="L22" i="5"/>
  <c r="AB22" i="5"/>
  <c r="M22" i="5"/>
  <c r="AF23" i="5"/>
  <c r="S23" i="5"/>
  <c r="AB26" i="5"/>
  <c r="AL26" i="5"/>
  <c r="O22" i="5"/>
  <c r="E22" i="5"/>
  <c r="AL22" i="5"/>
  <c r="AH22" i="5"/>
  <c r="V23" i="5"/>
  <c r="F23" i="5"/>
  <c r="J26" i="5"/>
  <c r="W26" i="5"/>
  <c r="AE22" i="5"/>
  <c r="AK22" i="5"/>
  <c r="Y22" i="5"/>
  <c r="J23" i="5"/>
  <c r="U23" i="5"/>
  <c r="AE26" i="5"/>
  <c r="N26" i="5"/>
  <c r="H22" i="5"/>
  <c r="F22" i="5"/>
  <c r="AG22" i="5"/>
  <c r="X22" i="5"/>
  <c r="J22" i="5"/>
  <c r="AH23" i="5"/>
  <c r="L26" i="5"/>
  <c r="Q26" i="5"/>
  <c r="S26" i="5"/>
  <c r="AD22" i="5"/>
  <c r="D13" i="5"/>
  <c r="T13" i="5"/>
  <c r="AJ13" i="5"/>
  <c r="V13" i="5"/>
  <c r="E13" i="5"/>
  <c r="AH13" i="5"/>
  <c r="AC13" i="5"/>
  <c r="W13" i="5"/>
  <c r="AE13" i="5"/>
  <c r="D10" i="5"/>
  <c r="T10" i="5"/>
  <c r="AJ10" i="5"/>
  <c r="M10" i="5"/>
  <c r="AH10" i="5"/>
  <c r="AA10" i="5"/>
  <c r="V10" i="5"/>
  <c r="Q10" i="5"/>
  <c r="S10" i="5"/>
  <c r="D14" i="5"/>
  <c r="T14" i="5"/>
  <c r="AJ14" i="5"/>
  <c r="W14" i="5"/>
  <c r="E14" i="5"/>
  <c r="AG14" i="5"/>
  <c r="AA14" i="5"/>
  <c r="V14" i="5"/>
  <c r="Y14" i="5"/>
  <c r="F18" i="5"/>
  <c r="V18" i="5"/>
  <c r="AL18" i="5"/>
  <c r="T18" i="5"/>
  <c r="E18" i="5"/>
  <c r="AA18" i="5"/>
  <c r="L18" i="5"/>
  <c r="AG18" i="5"/>
  <c r="M18" i="5"/>
  <c r="AM9" i="5"/>
  <c r="W9" i="5"/>
  <c r="G9" i="5"/>
  <c r="T9" i="5"/>
  <c r="AL9" i="5"/>
  <c r="Q9" i="5"/>
  <c r="U9" i="5"/>
  <c r="AC9" i="5"/>
  <c r="Z9" i="5"/>
  <c r="D17" i="5"/>
  <c r="T17" i="5"/>
  <c r="V17" i="5"/>
  <c r="AL17" i="5"/>
  <c r="AC17" i="5"/>
  <c r="S17" i="5"/>
  <c r="G17" i="5"/>
  <c r="AF17" i="5"/>
  <c r="I17" i="5"/>
  <c r="G21" i="5"/>
  <c r="W21" i="5"/>
  <c r="AM21" i="5"/>
  <c r="P21" i="5"/>
  <c r="AF21" i="5"/>
  <c r="Y21" i="5"/>
  <c r="Z21" i="5"/>
  <c r="U21" i="5"/>
  <c r="V21" i="5"/>
  <c r="D11" i="5"/>
  <c r="T11" i="5"/>
  <c r="AJ11" i="5"/>
  <c r="Y11" i="5"/>
  <c r="M11" i="5"/>
  <c r="G11" i="5"/>
  <c r="AK11" i="5"/>
  <c r="AE11" i="5"/>
  <c r="R11" i="5"/>
  <c r="D15" i="5"/>
  <c r="T15" i="5"/>
  <c r="AJ15" i="5"/>
  <c r="Y15" i="5"/>
  <c r="K15" i="5"/>
  <c r="AM15" i="5"/>
  <c r="AA15" i="5"/>
  <c r="V15" i="5"/>
  <c r="AL15" i="5"/>
  <c r="F19" i="5"/>
  <c r="V19" i="5"/>
  <c r="AL19" i="5"/>
  <c r="U19" i="5"/>
  <c r="L19" i="5"/>
  <c r="AG19" i="5"/>
  <c r="S19" i="5"/>
  <c r="O19" i="5"/>
  <c r="D19" i="5"/>
  <c r="D12" i="5"/>
  <c r="T12" i="5"/>
  <c r="AJ12" i="5"/>
  <c r="U12" i="5"/>
  <c r="F12" i="5"/>
  <c r="AH12" i="5"/>
  <c r="AC12" i="5"/>
  <c r="W12" i="5"/>
  <c r="K12" i="5"/>
  <c r="D16" i="5"/>
  <c r="T16" i="5"/>
  <c r="AJ16" i="5"/>
  <c r="U16" i="5"/>
  <c r="K16" i="5"/>
  <c r="AM16" i="5"/>
  <c r="AA16" i="5"/>
  <c r="V16" i="5"/>
  <c r="I16" i="5"/>
  <c r="F20" i="5"/>
  <c r="H20" i="5"/>
  <c r="AA20" i="5"/>
  <c r="D20" i="5"/>
  <c r="X20" i="5"/>
  <c r="K20" i="5"/>
  <c r="L20" i="5"/>
  <c r="E20" i="5"/>
  <c r="G20" i="5"/>
  <c r="P20" i="5"/>
  <c r="H13" i="5"/>
  <c r="X13" i="5"/>
  <c r="F13" i="5"/>
  <c r="AA13" i="5"/>
  <c r="M13" i="5"/>
  <c r="G13" i="5"/>
  <c r="AI13" i="5"/>
  <c r="AD13" i="5"/>
  <c r="J13" i="5"/>
  <c r="H10" i="5"/>
  <c r="X10" i="5"/>
  <c r="F10" i="5"/>
  <c r="R10" i="5"/>
  <c r="AM10" i="5"/>
  <c r="AI10" i="5"/>
  <c r="AD10" i="5"/>
  <c r="Y10" i="5"/>
  <c r="Z10" i="5"/>
  <c r="H14" i="5"/>
  <c r="X14" i="5"/>
  <c r="G14" i="5"/>
  <c r="AC14" i="5"/>
  <c r="K14" i="5"/>
  <c r="F14" i="5"/>
  <c r="AI14" i="5"/>
  <c r="AD14" i="5"/>
  <c r="AE14" i="5"/>
  <c r="J18" i="5"/>
  <c r="Z18" i="5"/>
  <c r="D18" i="5"/>
  <c r="Y18" i="5"/>
  <c r="K18" i="5"/>
  <c r="AF18" i="5"/>
  <c r="Q18" i="5"/>
  <c r="AM18" i="5"/>
  <c r="AI18" i="5"/>
  <c r="AI9" i="5"/>
  <c r="S9" i="5"/>
  <c r="AJ9" i="5"/>
  <c r="N9" i="5"/>
  <c r="AG9" i="5"/>
  <c r="L9" i="5"/>
  <c r="P9" i="5"/>
  <c r="M9" i="5"/>
  <c r="J9" i="5"/>
  <c r="H17" i="5"/>
  <c r="F17" i="5"/>
  <c r="Z17" i="5"/>
  <c r="J17" i="5"/>
  <c r="AI17" i="5"/>
  <c r="Y17" i="5"/>
  <c r="N17" i="5"/>
  <c r="AK17" i="5"/>
  <c r="AG17" i="5"/>
  <c r="K21" i="5"/>
  <c r="AA21" i="5"/>
  <c r="D21" i="5"/>
  <c r="T21" i="5"/>
  <c r="AJ21" i="5"/>
  <c r="AG21" i="5"/>
  <c r="AH21" i="5"/>
  <c r="AC21" i="5"/>
  <c r="AL21" i="5"/>
  <c r="H11" i="5"/>
  <c r="X11" i="5"/>
  <c r="I11" i="5"/>
  <c r="AD11" i="5"/>
  <c r="U11" i="5"/>
  <c r="O11" i="5"/>
  <c r="J11" i="5"/>
  <c r="AL11" i="5"/>
  <c r="Z11" i="5"/>
  <c r="H15" i="5"/>
  <c r="X15" i="5"/>
  <c r="I15" i="5"/>
  <c r="AD15" i="5"/>
  <c r="R15" i="5"/>
  <c r="F15" i="5"/>
  <c r="AH15" i="5"/>
  <c r="AC15" i="5"/>
  <c r="Q15" i="5"/>
  <c r="J19" i="5"/>
  <c r="Z19" i="5"/>
  <c r="E19" i="5"/>
  <c r="AA19" i="5"/>
  <c r="Q19" i="5"/>
  <c r="AM19" i="5"/>
  <c r="X19" i="5"/>
  <c r="AJ19" i="5"/>
  <c r="Y19" i="5"/>
  <c r="H12" i="5"/>
  <c r="X12" i="5"/>
  <c r="E12" i="5"/>
  <c r="Z12" i="5"/>
  <c r="M12" i="5"/>
  <c r="G12" i="5"/>
  <c r="AI12" i="5"/>
  <c r="AD12" i="5"/>
  <c r="AM12" i="5"/>
  <c r="H16" i="5"/>
  <c r="X16" i="5"/>
  <c r="E16" i="5"/>
  <c r="Z16" i="5"/>
  <c r="R16" i="5"/>
  <c r="F16" i="5"/>
  <c r="AH16" i="5"/>
  <c r="AC16" i="5"/>
  <c r="AL16" i="5"/>
  <c r="J20" i="5"/>
  <c r="M20" i="5"/>
  <c r="AE20" i="5"/>
  <c r="I20" i="5"/>
  <c r="AB20" i="5"/>
  <c r="U20" i="5"/>
  <c r="L13" i="5"/>
  <c r="AB13" i="5"/>
  <c r="K13" i="5"/>
  <c r="AG13" i="5"/>
  <c r="S13" i="5"/>
  <c r="N13" i="5"/>
  <c r="I13" i="5"/>
  <c r="AK13" i="5"/>
  <c r="AM13" i="5"/>
  <c r="L10" i="5"/>
  <c r="AB10" i="5"/>
  <c r="K10" i="5"/>
  <c r="W10" i="5"/>
  <c r="N10" i="5"/>
  <c r="E10" i="5"/>
  <c r="AK10" i="5"/>
  <c r="AE10" i="5"/>
  <c r="AG10" i="5"/>
  <c r="L14" i="5"/>
  <c r="AB14" i="5"/>
  <c r="M14" i="5"/>
  <c r="AH14" i="5"/>
  <c r="S14" i="5"/>
  <c r="N14" i="5"/>
  <c r="I14" i="5"/>
  <c r="AK14" i="5"/>
  <c r="J14" i="5"/>
  <c r="N18" i="5"/>
  <c r="AD18" i="5"/>
  <c r="I18" i="5"/>
  <c r="AE18" i="5"/>
  <c r="P18" i="5"/>
  <c r="AK18" i="5"/>
  <c r="W18" i="5"/>
  <c r="H18" i="5"/>
  <c r="S18" i="5"/>
  <c r="AE9" i="5"/>
  <c r="O9" i="5"/>
  <c r="AD9" i="5"/>
  <c r="D9" i="5"/>
  <c r="AB9" i="5"/>
  <c r="F9" i="5"/>
  <c r="E9" i="5"/>
  <c r="H9" i="5"/>
  <c r="AH9" i="5"/>
  <c r="L17" i="5"/>
  <c r="K17" i="5"/>
  <c r="AD17" i="5"/>
  <c r="R17" i="5"/>
  <c r="E17" i="5"/>
  <c r="AE17" i="5"/>
  <c r="U17" i="5"/>
  <c r="W17" i="5"/>
  <c r="O17" i="5"/>
  <c r="O21" i="5"/>
  <c r="AE21" i="5"/>
  <c r="H21" i="5"/>
  <c r="X21" i="5"/>
  <c r="I21" i="5"/>
  <c r="J21" i="5"/>
  <c r="E21" i="5"/>
  <c r="AK21" i="5"/>
  <c r="F21" i="5"/>
  <c r="L11" i="5"/>
  <c r="AB11" i="5"/>
  <c r="N11" i="5"/>
  <c r="AI11" i="5"/>
  <c r="AA11" i="5"/>
  <c r="V11" i="5"/>
  <c r="Q11" i="5"/>
  <c r="K11" i="5"/>
  <c r="E11" i="5"/>
  <c r="L15" i="5"/>
  <c r="AB15" i="5"/>
  <c r="N15" i="5"/>
  <c r="AI15" i="5"/>
  <c r="Z15" i="5"/>
  <c r="M15" i="5"/>
  <c r="G15" i="5"/>
  <c r="AK15" i="5"/>
  <c r="W15" i="5"/>
  <c r="N19" i="5"/>
  <c r="AD19" i="5"/>
  <c r="K19" i="5"/>
  <c r="AF19" i="5"/>
  <c r="W19" i="5"/>
  <c r="H19" i="5"/>
  <c r="AC19" i="5"/>
  <c r="T19" i="5"/>
  <c r="I19" i="5"/>
  <c r="L12" i="5"/>
  <c r="AB12" i="5"/>
  <c r="J12" i="5"/>
  <c r="AE12" i="5"/>
  <c r="S12" i="5"/>
  <c r="N12" i="5"/>
  <c r="I12" i="5"/>
  <c r="AL12" i="5"/>
  <c r="R12" i="5"/>
  <c r="L16" i="5"/>
  <c r="AB16" i="5"/>
  <c r="J16" i="5"/>
  <c r="AE16" i="5"/>
  <c r="Y16" i="5"/>
  <c r="M16" i="5"/>
  <c r="G16" i="5"/>
  <c r="AI16" i="5"/>
  <c r="Q16" i="5"/>
  <c r="N20" i="5"/>
  <c r="S20" i="5"/>
  <c r="AI20" i="5"/>
  <c r="O20" i="5"/>
  <c r="AF20" i="5"/>
  <c r="AC20" i="5"/>
  <c r="AD20" i="5"/>
  <c r="Y20" i="5"/>
  <c r="AH20" i="5"/>
  <c r="V20" i="5"/>
  <c r="P13" i="5"/>
  <c r="AF13" i="5"/>
  <c r="Q13" i="5"/>
  <c r="AL13" i="5"/>
  <c r="Z13" i="5"/>
  <c r="U13" i="5"/>
  <c r="O13" i="5"/>
  <c r="Y13" i="5"/>
  <c r="R13" i="5"/>
  <c r="P10" i="5"/>
  <c r="AF10" i="5"/>
  <c r="G10" i="5"/>
  <c r="AC10" i="5"/>
  <c r="U10" i="5"/>
  <c r="O10" i="5"/>
  <c r="I10" i="5"/>
  <c r="AL10" i="5"/>
  <c r="J10" i="5"/>
  <c r="P14" i="5"/>
  <c r="AF14" i="5"/>
  <c r="R14" i="5"/>
  <c r="AM14" i="5"/>
  <c r="Z14" i="5"/>
  <c r="U14" i="5"/>
  <c r="O14" i="5"/>
  <c r="Q14" i="5"/>
  <c r="AL14" i="5"/>
  <c r="R18" i="5"/>
  <c r="AH18" i="5"/>
  <c r="O18" i="5"/>
  <c r="AJ18" i="5"/>
  <c r="U18" i="5"/>
  <c r="G18" i="5"/>
  <c r="AB18" i="5"/>
  <c r="AC18" i="5"/>
  <c r="X18" i="5"/>
  <c r="AA9" i="5"/>
  <c r="K9" i="5"/>
  <c r="Y9" i="5"/>
  <c r="R9" i="5"/>
  <c r="V9" i="5"/>
  <c r="AF9" i="5"/>
  <c r="I9" i="5"/>
  <c r="AK9" i="5"/>
  <c r="X9" i="5"/>
  <c r="P17" i="5"/>
  <c r="Q17" i="5"/>
  <c r="AH17" i="5"/>
  <c r="X17" i="5"/>
  <c r="M17" i="5"/>
  <c r="AJ17" i="5"/>
  <c r="AA17" i="5"/>
  <c r="AB17" i="5"/>
  <c r="AM17" i="5"/>
  <c r="S21" i="5"/>
  <c r="AI21" i="5"/>
  <c r="L21" i="5"/>
  <c r="AB21" i="5"/>
  <c r="Q21" i="5"/>
  <c r="R21" i="5"/>
  <c r="M21" i="5"/>
  <c r="N21" i="5"/>
  <c r="AD21" i="5"/>
  <c r="P11" i="5"/>
  <c r="AF11" i="5"/>
  <c r="S11" i="5"/>
  <c r="F11" i="5"/>
  <c r="AH11" i="5"/>
  <c r="AC11" i="5"/>
  <c r="W11" i="5"/>
  <c r="AM11" i="5"/>
  <c r="AG11" i="5"/>
  <c r="P15" i="5"/>
  <c r="AF15" i="5"/>
  <c r="S15" i="5"/>
  <c r="E15" i="5"/>
  <c r="AG15" i="5"/>
  <c r="U15" i="5"/>
  <c r="O15" i="5"/>
  <c r="J15" i="5"/>
  <c r="AE15" i="5"/>
  <c r="R19" i="5"/>
  <c r="AH19" i="5"/>
  <c r="P19" i="5"/>
  <c r="G19" i="5"/>
  <c r="AB19" i="5"/>
  <c r="M19" i="5"/>
  <c r="AI19" i="5"/>
  <c r="AK19" i="5"/>
  <c r="AE19" i="5"/>
  <c r="P12" i="5"/>
  <c r="AF12" i="5"/>
  <c r="O12" i="5"/>
  <c r="AK12" i="5"/>
  <c r="AA12" i="5"/>
  <c r="V12" i="5"/>
  <c r="Q12" i="5"/>
  <c r="AG12" i="5"/>
  <c r="Y12" i="5"/>
  <c r="P16" i="5"/>
  <c r="AF16" i="5"/>
  <c r="O16" i="5"/>
  <c r="AK16" i="5"/>
  <c r="AG16" i="5"/>
  <c r="S16" i="5"/>
  <c r="N16" i="5"/>
  <c r="AD16" i="5"/>
  <c r="W16" i="5"/>
  <c r="R20" i="5"/>
  <c r="W20" i="5"/>
  <c r="AM20" i="5"/>
  <c r="T20" i="5"/>
  <c r="AJ20" i="5"/>
  <c r="AK20" i="5"/>
  <c r="AL20" i="5"/>
  <c r="AG20" i="5"/>
  <c r="Z20" i="5"/>
  <c r="Q20" i="5"/>
  <c r="G8" i="21"/>
  <c r="G21" i="21" s="1"/>
  <c r="D21" i="21"/>
  <c r="I56" i="4"/>
  <c r="I54" i="4"/>
  <c r="I52" i="4"/>
  <c r="I51" i="4"/>
  <c r="J51" i="4" s="1"/>
  <c r="I55" i="4"/>
  <c r="I53" i="4"/>
  <c r="K16" i="2"/>
  <c r="L16" i="2" s="1"/>
  <c r="K15" i="2"/>
  <c r="L15" i="2" s="1"/>
  <c r="K14" i="2"/>
  <c r="L14" i="2" s="1"/>
  <c r="K13" i="2"/>
  <c r="L13" i="2" s="1"/>
  <c r="K12" i="2"/>
  <c r="L12" i="2" s="1"/>
  <c r="K22" i="2"/>
  <c r="N22" i="2" s="1"/>
  <c r="K21" i="2"/>
  <c r="N21" i="2" s="1"/>
  <c r="O21" i="2" s="1"/>
  <c r="J58" i="4" l="1"/>
  <c r="J60" i="4" s="1"/>
  <c r="C21" i="21"/>
  <c r="C12" i="19" s="1"/>
  <c r="C14" i="19" s="1"/>
  <c r="E3" i="7"/>
  <c r="E6" i="7" s="1"/>
  <c r="L21" i="2"/>
  <c r="N13" i="2"/>
  <c r="O13" i="2" s="1"/>
  <c r="N15" i="2"/>
  <c r="O15" i="2" s="1"/>
  <c r="N12" i="2"/>
  <c r="O12" i="2" s="1"/>
  <c r="N14" i="2"/>
  <c r="O14" i="2" s="1"/>
  <c r="N16" i="2"/>
  <c r="O16" i="2" s="1"/>
  <c r="O22" i="2"/>
  <c r="P22" i="2" s="1"/>
  <c r="Q22" i="2" s="1"/>
  <c r="L22" i="2"/>
  <c r="P21" i="2"/>
  <c r="Q21" i="2" s="1"/>
  <c r="K9" i="2"/>
  <c r="K7" i="2"/>
  <c r="P16" i="2" l="1"/>
  <c r="Q16" i="2" s="1"/>
  <c r="P14" i="2"/>
  <c r="Q14" i="2" s="1"/>
  <c r="P12" i="2"/>
  <c r="Q12" i="2" s="1"/>
  <c r="P13" i="2"/>
  <c r="Q13" i="2" s="1"/>
  <c r="P15" i="2"/>
  <c r="Q15" i="2" s="1"/>
  <c r="A1" i="3" l="1"/>
  <c r="AN29" i="5" l="1"/>
  <c r="D113" i="4" s="1"/>
  <c r="I113" i="4" s="1"/>
  <c r="J113" i="4" s="1"/>
  <c r="E1" i="2"/>
  <c r="R11" i="2" s="1"/>
  <c r="S11" i="2" s="1"/>
  <c r="O110" i="4"/>
  <c r="O108" i="4"/>
  <c r="O107" i="4"/>
  <c r="O106" i="4"/>
  <c r="O99" i="4"/>
  <c r="O98" i="4"/>
  <c r="O97" i="4"/>
  <c r="O96" i="4"/>
  <c r="O95" i="4"/>
  <c r="O94" i="4"/>
  <c r="O127" i="4"/>
  <c r="O126" i="4"/>
  <c r="O125" i="4"/>
  <c r="O124" i="4"/>
  <c r="O92" i="4"/>
  <c r="O91" i="4"/>
  <c r="O90" i="4"/>
  <c r="O89" i="4"/>
  <c r="O88" i="4"/>
  <c r="O87" i="4"/>
  <c r="O86" i="4"/>
  <c r="O85" i="4"/>
  <c r="O84" i="4"/>
  <c r="O83" i="4"/>
  <c r="O82" i="4"/>
  <c r="O81" i="4"/>
  <c r="O80" i="4"/>
  <c r="O79" i="4"/>
  <c r="O78" i="4"/>
  <c r="O77" i="4"/>
  <c r="O57" i="4"/>
  <c r="O56" i="4"/>
  <c r="O55" i="4"/>
  <c r="O49" i="4"/>
  <c r="O48" i="4"/>
  <c r="K5" i="2"/>
  <c r="N5" i="2" s="1"/>
  <c r="N9" i="2"/>
  <c r="K10" i="2"/>
  <c r="N10" i="2" s="1"/>
  <c r="O10" i="2" s="1"/>
  <c r="P10" i="2" s="1"/>
  <c r="Q10" i="2" s="1"/>
  <c r="Q25" i="2"/>
  <c r="R25" i="2" s="1"/>
  <c r="S25" i="2" s="1"/>
  <c r="Q26" i="2"/>
  <c r="R26" i="2" s="1"/>
  <c r="S26" i="2" s="1"/>
  <c r="Q6" i="2"/>
  <c r="R6" i="2" s="1"/>
  <c r="S6" i="2" s="1"/>
  <c r="K23" i="2"/>
  <c r="N23" i="2" s="1"/>
  <c r="O23" i="2" s="1"/>
  <c r="P23" i="2" s="1"/>
  <c r="Q23" i="2" s="1"/>
  <c r="R23" i="2" s="1"/>
  <c r="S23" i="2" s="1"/>
  <c r="K24" i="2"/>
  <c r="N24" i="2" s="1"/>
  <c r="O24" i="2" s="1"/>
  <c r="P24" i="2" s="1"/>
  <c r="Q24" i="2" s="1"/>
  <c r="R24" i="2" s="1"/>
  <c r="S24" i="2" s="1"/>
  <c r="K25" i="2"/>
  <c r="N25" i="2" s="1"/>
  <c r="K26" i="2"/>
  <c r="N26" i="2" s="1"/>
  <c r="O26" i="2" s="1"/>
  <c r="P26" i="2" s="1"/>
  <c r="K6" i="2"/>
  <c r="N6" i="2" s="1"/>
  <c r="O6" i="2" s="1"/>
  <c r="P6" i="2" s="1"/>
  <c r="Q7" i="2"/>
  <c r="R7" i="2" s="1"/>
  <c r="S7" i="2" s="1"/>
  <c r="Q17" i="2"/>
  <c r="R17" i="2" s="1"/>
  <c r="S17" i="2" s="1"/>
  <c r="Q18" i="2"/>
  <c r="R18" i="2" s="1"/>
  <c r="S18" i="2" s="1"/>
  <c r="Q19" i="2"/>
  <c r="R19" i="2" s="1"/>
  <c r="S19" i="2" s="1"/>
  <c r="Q27" i="2"/>
  <c r="R27" i="2" s="1"/>
  <c r="S27" i="2" s="1"/>
  <c r="Q30" i="2"/>
  <c r="R30" i="2" s="1"/>
  <c r="Q29" i="2"/>
  <c r="R29" i="2" s="1"/>
  <c r="K30" i="2"/>
  <c r="K29" i="2"/>
  <c r="K27" i="2"/>
  <c r="N27" i="2" s="1"/>
  <c r="K17" i="2"/>
  <c r="N17" i="2" s="1"/>
  <c r="O17" i="2" s="1"/>
  <c r="P17" i="2" s="1"/>
  <c r="K18" i="2"/>
  <c r="N18" i="2" s="1"/>
  <c r="O18" i="2" s="1"/>
  <c r="K19" i="2"/>
  <c r="N19" i="2" s="1"/>
  <c r="O19" i="2" s="1"/>
  <c r="P19" i="2" s="1"/>
  <c r="N7" i="2"/>
  <c r="H1" i="7"/>
  <c r="G30" i="7"/>
  <c r="D1" i="3"/>
  <c r="W1" i="4"/>
  <c r="T48" i="4"/>
  <c r="U48" i="4"/>
  <c r="V48" i="4"/>
  <c r="T49" i="4"/>
  <c r="U49" i="4"/>
  <c r="V49" i="4"/>
  <c r="T55" i="4"/>
  <c r="U55" i="4"/>
  <c r="V55" i="4"/>
  <c r="T56" i="4"/>
  <c r="U56" i="4"/>
  <c r="V56" i="4"/>
  <c r="T57" i="4"/>
  <c r="U57" i="4"/>
  <c r="V57" i="4"/>
  <c r="T77" i="4"/>
  <c r="U77" i="4"/>
  <c r="V77" i="4"/>
  <c r="T78" i="4"/>
  <c r="U78" i="4"/>
  <c r="V78" i="4"/>
  <c r="T79" i="4"/>
  <c r="U79" i="4"/>
  <c r="V79" i="4"/>
  <c r="T80" i="4"/>
  <c r="U80" i="4"/>
  <c r="V80" i="4"/>
  <c r="T81" i="4"/>
  <c r="U81" i="4"/>
  <c r="V81" i="4"/>
  <c r="T82" i="4"/>
  <c r="U82" i="4"/>
  <c r="V82" i="4"/>
  <c r="T83" i="4"/>
  <c r="U83" i="4"/>
  <c r="V83" i="4"/>
  <c r="T84" i="4"/>
  <c r="U84" i="4"/>
  <c r="V84" i="4"/>
  <c r="T85" i="4"/>
  <c r="U85" i="4"/>
  <c r="V85" i="4"/>
  <c r="T86" i="4"/>
  <c r="U86" i="4"/>
  <c r="V86" i="4"/>
  <c r="T87" i="4"/>
  <c r="U87" i="4"/>
  <c r="V87" i="4"/>
  <c r="T88" i="4"/>
  <c r="U88" i="4"/>
  <c r="V88" i="4"/>
  <c r="T89" i="4"/>
  <c r="U89" i="4"/>
  <c r="V89" i="4"/>
  <c r="T90" i="4"/>
  <c r="U90" i="4"/>
  <c r="V90" i="4"/>
  <c r="T91" i="4"/>
  <c r="U91" i="4"/>
  <c r="V91" i="4"/>
  <c r="T92" i="4"/>
  <c r="U92" i="4"/>
  <c r="V92" i="4"/>
  <c r="T124" i="4"/>
  <c r="U124" i="4"/>
  <c r="V124" i="4"/>
  <c r="T125" i="4"/>
  <c r="U125" i="4"/>
  <c r="V125" i="4"/>
  <c r="T126" i="4"/>
  <c r="U126" i="4"/>
  <c r="V126" i="4"/>
  <c r="T127" i="4"/>
  <c r="U127" i="4"/>
  <c r="V127" i="4"/>
  <c r="T94" i="4"/>
  <c r="U94" i="4"/>
  <c r="V94" i="4"/>
  <c r="T95" i="4"/>
  <c r="U95" i="4"/>
  <c r="V95" i="4"/>
  <c r="T96" i="4"/>
  <c r="U96" i="4"/>
  <c r="V96" i="4"/>
  <c r="T97" i="4"/>
  <c r="U97" i="4"/>
  <c r="V97" i="4"/>
  <c r="T98" i="4"/>
  <c r="U98" i="4"/>
  <c r="V98" i="4"/>
  <c r="T99" i="4"/>
  <c r="U99" i="4"/>
  <c r="V99" i="4"/>
  <c r="T106" i="4"/>
  <c r="U106" i="4"/>
  <c r="V106" i="4"/>
  <c r="T107" i="4"/>
  <c r="U107" i="4"/>
  <c r="V107" i="4"/>
  <c r="T108" i="4"/>
  <c r="U108" i="4"/>
  <c r="V108" i="4"/>
  <c r="T110" i="4"/>
  <c r="U110" i="4"/>
  <c r="V110" i="4"/>
  <c r="Q1" i="2"/>
  <c r="L6" i="2"/>
  <c r="L7" i="2"/>
  <c r="L9" i="2"/>
  <c r="L18" i="2"/>
  <c r="N37" i="2"/>
  <c r="O37" i="2" s="1"/>
  <c r="N40" i="2"/>
  <c r="O40" i="2" s="1"/>
  <c r="L26" i="2" l="1"/>
  <c r="N29" i="2"/>
  <c r="O29" i="2" s="1"/>
  <c r="P29" i="2" s="1"/>
  <c r="N30" i="2"/>
  <c r="E12" i="7"/>
  <c r="C24" i="19" s="1"/>
  <c r="E14" i="7"/>
  <c r="C22" i="19" s="1"/>
  <c r="E28" i="7"/>
  <c r="E11" i="7"/>
  <c r="C20" i="19" s="1"/>
  <c r="E10" i="7"/>
  <c r="C19" i="19" s="1"/>
  <c r="E9" i="7"/>
  <c r="C18" i="19" s="1"/>
  <c r="L19" i="2"/>
  <c r="L25" i="2"/>
  <c r="L10" i="2"/>
  <c r="L5" i="2"/>
  <c r="L8" i="2" s="1"/>
  <c r="L23" i="2"/>
  <c r="L24" i="2"/>
  <c r="L17" i="2"/>
  <c r="L29" i="2"/>
  <c r="R16" i="2"/>
  <c r="S16" i="2" s="1"/>
  <c r="R12" i="2"/>
  <c r="S12" i="2" s="1"/>
  <c r="R14" i="2"/>
  <c r="S14" i="2" s="1"/>
  <c r="R15" i="2"/>
  <c r="S15" i="2" s="1"/>
  <c r="R13" i="2"/>
  <c r="S13" i="2" s="1"/>
  <c r="K20" i="2"/>
  <c r="N8" i="2"/>
  <c r="R22" i="2"/>
  <c r="S22" i="2" s="1"/>
  <c r="R21" i="2"/>
  <c r="S21" i="2" s="1"/>
  <c r="Q31" i="2"/>
  <c r="O5" i="2"/>
  <c r="P5" i="2" s="1"/>
  <c r="Q5" i="2" s="1"/>
  <c r="R5" i="2" s="1"/>
  <c r="S5" i="2" s="1"/>
  <c r="S8" i="2" s="1"/>
  <c r="K8" i="2"/>
  <c r="N28" i="2"/>
  <c r="N20" i="2"/>
  <c r="R10" i="2"/>
  <c r="S10" i="2" s="1"/>
  <c r="R31" i="2"/>
  <c r="O9" i="2"/>
  <c r="P9" i="2" s="1"/>
  <c r="Q9" i="2" s="1"/>
  <c r="R9" i="2" s="1"/>
  <c r="S9" i="2" s="1"/>
  <c r="O7" i="2"/>
  <c r="P7" i="2" s="1"/>
  <c r="O27" i="2"/>
  <c r="P27" i="2" s="1"/>
  <c r="L30" i="2"/>
  <c r="K28" i="2"/>
  <c r="L27" i="2"/>
  <c r="P18" i="2"/>
  <c r="O25" i="2"/>
  <c r="P25" i="2" s="1"/>
  <c r="F2" i="7"/>
  <c r="N31" i="2" l="1"/>
  <c r="N32" i="2" s="1"/>
  <c r="O30" i="2"/>
  <c r="O31" i="2" s="1"/>
  <c r="L20" i="2"/>
  <c r="F34" i="7"/>
  <c r="F5" i="7"/>
  <c r="E21" i="7"/>
  <c r="F21" i="7" s="1"/>
  <c r="E15" i="7"/>
  <c r="C21" i="19"/>
  <c r="F35" i="7"/>
  <c r="L31" i="2"/>
  <c r="P8" i="2"/>
  <c r="Q8" i="2"/>
  <c r="K32" i="2"/>
  <c r="L28" i="2"/>
  <c r="F3" i="7"/>
  <c r="F32" i="7"/>
  <c r="R8" i="2"/>
  <c r="O8" i="2"/>
  <c r="F33" i="7"/>
  <c r="F31" i="7"/>
  <c r="O20" i="2"/>
  <c r="O36" i="2" s="1"/>
  <c r="O38" i="2" s="1"/>
  <c r="O39" i="2" s="1"/>
  <c r="O41" i="2" s="1"/>
  <c r="O28" i="2"/>
  <c r="E29" i="7"/>
  <c r="C23" i="19" s="1"/>
  <c r="F25" i="7"/>
  <c r="F28" i="7"/>
  <c r="F7" i="7"/>
  <c r="F12" i="7"/>
  <c r="F14" i="7"/>
  <c r="F8" i="7"/>
  <c r="F24" i="7"/>
  <c r="F27" i="7"/>
  <c r="F13" i="7"/>
  <c r="F9" i="7"/>
  <c r="F11" i="7"/>
  <c r="P30" i="2" l="1"/>
  <c r="P31" i="2" s="1"/>
  <c r="L32" i="2"/>
  <c r="L33" i="2" s="1"/>
  <c r="E18" i="7"/>
  <c r="F18" i="7" s="1"/>
  <c r="R36" i="2"/>
  <c r="F4" i="7"/>
  <c r="F6" i="7" s="1"/>
  <c r="F26" i="7"/>
  <c r="F29" i="7" s="1"/>
  <c r="P28" i="2"/>
  <c r="O32" i="2"/>
  <c r="L36" i="2" s="1"/>
  <c r="L38" i="2" s="1"/>
  <c r="L39" i="2" s="1"/>
  <c r="L41" i="2" s="1"/>
  <c r="E30" i="7" s="1"/>
  <c r="E36" i="7" s="1"/>
  <c r="N36" i="2"/>
  <c r="N38" i="2" s="1"/>
  <c r="N39" i="2" s="1"/>
  <c r="N41" i="2" s="1"/>
  <c r="P20" i="2"/>
  <c r="H31" i="2" l="1"/>
  <c r="R39" i="2"/>
  <c r="D112" i="4"/>
  <c r="I112" i="4" s="1"/>
  <c r="J112" i="4" s="1"/>
  <c r="J117" i="4" s="1"/>
  <c r="E22" i="7" s="1"/>
  <c r="P33" i="2"/>
  <c r="P32" i="2"/>
  <c r="Q20" i="2"/>
  <c r="R37" i="2" s="1"/>
  <c r="Q28" i="2"/>
  <c r="S30" i="5" l="1"/>
  <c r="S33" i="5" s="1"/>
  <c r="S36" i="5" s="1"/>
  <c r="L30" i="5"/>
  <c r="L33" i="5" s="1"/>
  <c r="L36" i="5" s="1"/>
  <c r="I30" i="5"/>
  <c r="I33" i="5" s="1"/>
  <c r="I36" i="5" s="1"/>
  <c r="G30" i="5"/>
  <c r="G33" i="5" s="1"/>
  <c r="G36" i="5" s="1"/>
  <c r="K30" i="5"/>
  <c r="K33" i="5" s="1"/>
  <c r="K36" i="5" s="1"/>
  <c r="P30" i="5"/>
  <c r="P33" i="5" s="1"/>
  <c r="P36" i="5" s="1"/>
  <c r="H30" i="5"/>
  <c r="H33" i="5" s="1"/>
  <c r="H36" i="5" s="1"/>
  <c r="E30" i="5"/>
  <c r="E33" i="5" s="1"/>
  <c r="E36" i="5" s="1"/>
  <c r="AN16" i="5"/>
  <c r="AN22" i="5"/>
  <c r="AN18" i="5"/>
  <c r="AN15" i="5"/>
  <c r="N30" i="5"/>
  <c r="N33" i="5" s="1"/>
  <c r="N36" i="5" s="1"/>
  <c r="AA30" i="5"/>
  <c r="AA33" i="5" s="1"/>
  <c r="AA36" i="5" s="1"/>
  <c r="Y30" i="5"/>
  <c r="Y33" i="5" s="1"/>
  <c r="Y36" i="5" s="1"/>
  <c r="AN12" i="5"/>
  <c r="R30" i="5"/>
  <c r="R33" i="5" s="1"/>
  <c r="R36" i="5" s="1"/>
  <c r="W30" i="5"/>
  <c r="W33" i="5" s="1"/>
  <c r="W36" i="5" s="1"/>
  <c r="U30" i="5"/>
  <c r="U33" i="5" s="1"/>
  <c r="U36" i="5" s="1"/>
  <c r="AC30" i="5"/>
  <c r="AC33" i="5" s="1"/>
  <c r="AC36" i="5" s="1"/>
  <c r="AI30" i="5"/>
  <c r="AI33" i="5" s="1"/>
  <c r="AI36" i="5" s="1"/>
  <c r="AN26" i="5"/>
  <c r="AN25" i="5"/>
  <c r="F30" i="7"/>
  <c r="F36" i="7" s="1"/>
  <c r="AN19" i="5"/>
  <c r="AN14" i="5"/>
  <c r="AN21" i="5"/>
  <c r="AN13" i="5"/>
  <c r="AN27" i="5"/>
  <c r="F30" i="5"/>
  <c r="F33" i="5" s="1"/>
  <c r="F36" i="5" s="1"/>
  <c r="M30" i="5"/>
  <c r="M33" i="5" s="1"/>
  <c r="M36" i="5" s="1"/>
  <c r="Z30" i="5"/>
  <c r="Z33" i="5" s="1"/>
  <c r="Z36" i="5" s="1"/>
  <c r="X30" i="5"/>
  <c r="X33" i="5" s="1"/>
  <c r="X36" i="5" s="1"/>
  <c r="AG30" i="5"/>
  <c r="AG33" i="5" s="1"/>
  <c r="AG36" i="5" s="1"/>
  <c r="AJ30" i="5"/>
  <c r="AL30" i="5"/>
  <c r="AL33" i="5" s="1"/>
  <c r="AL36" i="5" s="1"/>
  <c r="F10" i="7"/>
  <c r="AN20" i="5"/>
  <c r="AN11" i="5"/>
  <c r="AN24" i="5"/>
  <c r="AN17" i="5"/>
  <c r="AN10" i="5"/>
  <c r="AN23" i="5"/>
  <c r="J30" i="5"/>
  <c r="J33" i="5" s="1"/>
  <c r="J36" i="5" s="1"/>
  <c r="Q30" i="5"/>
  <c r="Q33" i="5" s="1"/>
  <c r="Q36" i="5" s="1"/>
  <c r="V30" i="5"/>
  <c r="V33" i="5" s="1"/>
  <c r="V36" i="5" s="1"/>
  <c r="AD30" i="5"/>
  <c r="AD33" i="5" s="1"/>
  <c r="AD36" i="5" s="1"/>
  <c r="O30" i="5"/>
  <c r="O33" i="5" s="1"/>
  <c r="O36" i="5" s="1"/>
  <c r="T30" i="5"/>
  <c r="T33" i="5" s="1"/>
  <c r="T36" i="5" s="1"/>
  <c r="AB30" i="5"/>
  <c r="AB33" i="5" s="1"/>
  <c r="AB36" i="5" s="1"/>
  <c r="AE30" i="5"/>
  <c r="AE33" i="5" s="1"/>
  <c r="AE36" i="5" s="1"/>
  <c r="AM30" i="5"/>
  <c r="AM33" i="5" s="1"/>
  <c r="AM36" i="5" s="1"/>
  <c r="AK30" i="5"/>
  <c r="AK33" i="5" s="1"/>
  <c r="AK36" i="5" s="1"/>
  <c r="AF30" i="5"/>
  <c r="AF33" i="5" s="1"/>
  <c r="AF36" i="5" s="1"/>
  <c r="D30" i="5"/>
  <c r="AN9" i="5"/>
  <c r="AH30" i="5"/>
  <c r="AH33" i="5" s="1"/>
  <c r="AH36" i="5" s="1"/>
  <c r="Q33" i="2"/>
  <c r="Q32" i="2"/>
  <c r="R38" i="2"/>
  <c r="S28" i="2"/>
  <c r="E17" i="7" s="1"/>
  <c r="R28" i="2"/>
  <c r="E20" i="7" s="1"/>
  <c r="F20" i="7" s="1"/>
  <c r="S20" i="2"/>
  <c r="E16" i="7" s="1"/>
  <c r="R20" i="2"/>
  <c r="AJ33" i="5" l="1"/>
  <c r="AJ36" i="5" s="1"/>
  <c r="D33" i="5"/>
  <c r="D36" i="5" s="1"/>
  <c r="AN30" i="5"/>
  <c r="E19" i="7"/>
  <c r="F19" i="7" s="1"/>
  <c r="F16" i="7"/>
  <c r="I21" i="19"/>
  <c r="I28" i="19"/>
  <c r="I11" i="19"/>
  <c r="F17" i="19"/>
  <c r="I23" i="19"/>
  <c r="F11" i="19"/>
  <c r="I26" i="19"/>
  <c r="I20" i="19"/>
  <c r="F27" i="19"/>
  <c r="I19" i="19"/>
  <c r="F24" i="19"/>
  <c r="I27" i="19"/>
  <c r="I22" i="19"/>
  <c r="I15" i="19"/>
  <c r="F13" i="19"/>
  <c r="I24" i="19"/>
  <c r="F28" i="19"/>
  <c r="F25" i="19"/>
  <c r="I16" i="19"/>
  <c r="F15" i="19"/>
  <c r="F18" i="19"/>
  <c r="F16" i="19"/>
  <c r="F26" i="19"/>
  <c r="I17" i="19"/>
  <c r="F22" i="19"/>
  <c r="I25" i="19"/>
  <c r="I13" i="19"/>
  <c r="F20" i="19"/>
  <c r="I18" i="19"/>
  <c r="I12" i="19"/>
  <c r="I14" i="19"/>
  <c r="F21" i="19"/>
  <c r="F12" i="19"/>
  <c r="F23" i="19"/>
  <c r="F14" i="19"/>
  <c r="F19" i="19"/>
  <c r="R32" i="2"/>
  <c r="F17" i="7"/>
  <c r="S32" i="2"/>
  <c r="AN33" i="5" l="1"/>
  <c r="F22" i="7" s="1"/>
  <c r="AN36" i="5"/>
  <c r="E23" i="7"/>
  <c r="E37" i="7" s="1"/>
  <c r="F15" i="7"/>
  <c r="E38" i="7" l="1"/>
  <c r="G38" i="7" s="1"/>
  <c r="C25" i="19"/>
  <c r="C27" i="19" s="1"/>
  <c r="F23" i="7"/>
  <c r="F37" i="7" s="1"/>
  <c r="F38" i="7" s="1"/>
  <c r="F39" i="7" s="1"/>
  <c r="E39" i="7" l="1"/>
</calcChain>
</file>

<file path=xl/comments1.xml><?xml version="1.0" encoding="utf-8"?>
<comments xmlns="http://schemas.openxmlformats.org/spreadsheetml/2006/main">
  <authors>
    <author>山口県</author>
  </authors>
  <commentList>
    <comment ref="A1" authorId="0">
      <text>
        <r>
          <rPr>
            <b/>
            <sz val="11"/>
            <color indexed="81"/>
            <rFont val="ＭＳ Ｐゴシック"/>
            <family val="3"/>
            <charset val="128"/>
          </rPr>
          <t>本シートはシート「科目集計用」より自動的に作成されます。</t>
        </r>
      </text>
    </comment>
  </commentList>
</comments>
</file>

<file path=xl/comments2.xml><?xml version="1.0" encoding="utf-8"?>
<comments xmlns="http://schemas.openxmlformats.org/spreadsheetml/2006/main">
  <authors>
    <author>山口県</author>
    <author>kazuoki3</author>
  </authors>
  <commentList>
    <comment ref="B1" authorId="0">
      <text>
        <r>
          <rPr>
            <b/>
            <sz val="9"/>
            <color indexed="81"/>
            <rFont val="ＭＳ Ｐゴシック"/>
            <family val="3"/>
            <charset val="128"/>
          </rPr>
          <t>緑のセルはプルダウンリストから選択してください。その他のセルは自動作成されます。</t>
        </r>
      </text>
    </comment>
    <comment ref="B9" authorId="1">
      <text>
        <r>
          <rPr>
            <b/>
            <sz val="9"/>
            <color indexed="81"/>
            <rFont val="ＭＳ Ｐゴシック"/>
            <family val="3"/>
            <charset val="128"/>
          </rPr>
          <t>=作業名</t>
        </r>
      </text>
    </comment>
    <comment ref="D9" authorId="1">
      <text>
        <r>
          <rPr>
            <b/>
            <sz val="9"/>
            <color indexed="81"/>
            <rFont val="ＭＳ Ｐゴシック"/>
            <family val="3"/>
            <charset val="128"/>
          </rPr>
          <t>=SUMPRODUCT((作業体系!$A$4:$A$346=労働時間!$B9)*(作業体系!$B$4:$B$346="1月上旬")*(作業体系!$P$4:$P$346))</t>
        </r>
      </text>
    </comment>
  </commentList>
</comments>
</file>

<file path=xl/comments3.xml><?xml version="1.0" encoding="utf-8"?>
<comments xmlns="http://schemas.openxmlformats.org/spreadsheetml/2006/main">
  <authors>
    <author>ooisi</author>
  </authors>
  <commentList>
    <comment ref="C5" authorId="0">
      <text>
        <r>
          <rPr>
            <sz val="11"/>
            <color indexed="81"/>
            <rFont val="ＭＳ Ｐゴシック"/>
            <family val="3"/>
            <charset val="128"/>
          </rPr>
          <t>必ず記入してください。</t>
        </r>
        <r>
          <rPr>
            <b/>
            <sz val="9"/>
            <color indexed="81"/>
            <rFont val="ＭＳ Ｐゴシック"/>
            <family val="3"/>
            <charset val="128"/>
          </rPr>
          <t xml:space="preserve">
</t>
        </r>
        <r>
          <rPr>
            <sz val="11"/>
            <color indexed="81"/>
            <rFont val="ＭＳ Ｐゴシック"/>
            <family val="3"/>
            <charset val="128"/>
          </rPr>
          <t>これが、プロセス名になります。</t>
        </r>
      </text>
    </comment>
    <comment ref="K11" authorId="0">
      <text>
        <r>
          <rPr>
            <b/>
            <sz val="11"/>
            <color indexed="81"/>
            <rFont val="ＭＳ Ｐゴシック"/>
            <family val="3"/>
            <charset val="128"/>
          </rPr>
          <t>必ず入力します。入力しないと計画案を計算しません。</t>
        </r>
        <r>
          <rPr>
            <sz val="11"/>
            <color indexed="81"/>
            <rFont val="ＭＳ Ｐゴシック"/>
            <family val="3"/>
            <charset val="128"/>
          </rPr>
          <t xml:space="preserve">
</t>
        </r>
      </text>
    </comment>
    <comment ref="L11" authorId="0">
      <text>
        <r>
          <rPr>
            <sz val="11"/>
            <color indexed="81"/>
            <rFont val="ＭＳ Ｐゴシック"/>
            <family val="3"/>
            <charset val="128"/>
          </rPr>
          <t>ダブルクリックすると、地目のリストが表示されます。リストから選択します。</t>
        </r>
      </text>
    </comment>
    <comment ref="K12" authorId="0">
      <text>
        <r>
          <rPr>
            <b/>
            <sz val="11"/>
            <color indexed="81"/>
            <rFont val="ＭＳ Ｐゴシック"/>
            <family val="3"/>
            <charset val="128"/>
          </rPr>
          <t>必ず入力します。入力しないと計画案を計算しません。</t>
        </r>
      </text>
    </comment>
    <comment ref="L12" authorId="0">
      <text>
        <r>
          <rPr>
            <b/>
            <sz val="11"/>
            <color indexed="81"/>
            <rFont val="ＭＳ Ｐゴシック"/>
            <family val="3"/>
            <charset val="128"/>
          </rPr>
          <t>作付地目が「田」の場合に入力します。
 ①生産物が主食用米の場合は「該当する」を入力します
 ②その他の場合は「該当しない」を入力します。</t>
        </r>
      </text>
    </comment>
    <comment ref="L13" authorId="0">
      <text>
        <r>
          <rPr>
            <sz val="11"/>
            <color indexed="81"/>
            <rFont val="ＭＳ Ｐゴシック"/>
            <family val="3"/>
            <charset val="128"/>
          </rPr>
          <t>「１月」から「12月」のいずれかを入力します。数字のみ入力してください。
入力がないと、「１月」とみなされます。</t>
        </r>
      </text>
    </comment>
    <comment ref="M13" authorId="0">
      <text>
        <r>
          <rPr>
            <sz val="11"/>
            <color indexed="81"/>
            <rFont val="ＭＳ Ｐゴシック"/>
            <family val="3"/>
            <charset val="128"/>
          </rPr>
          <t>ダブルクリックすると、旬のリストが表示されます。リストから選択します。選択しないと「上旬」と見なされます。</t>
        </r>
      </text>
    </comment>
    <comment ref="C14" authorId="0">
      <text>
        <r>
          <rPr>
            <sz val="11"/>
            <color indexed="81"/>
            <rFont val="ＭＳ Ｐゴシック"/>
            <family val="3"/>
            <charset val="128"/>
          </rPr>
          <t>この数値は入力できません。
(単位収量×単価＋その他収益)で計算します。</t>
        </r>
      </text>
    </comment>
    <comment ref="L14" authorId="0">
      <text>
        <r>
          <rPr>
            <sz val="11"/>
            <color indexed="81"/>
            <rFont val="ＭＳ Ｐゴシック"/>
            <family val="3"/>
            <charset val="128"/>
          </rPr>
          <t>「１月」から「12月」のいずれかを入力します。数字のみ入力してください。
入力がないと、「12月」とみなされます。</t>
        </r>
      </text>
    </comment>
    <comment ref="M14" authorId="0">
      <text>
        <r>
          <rPr>
            <sz val="11"/>
            <color indexed="81"/>
            <rFont val="ＭＳ Ｐゴシック"/>
            <family val="3"/>
            <charset val="128"/>
          </rPr>
          <t>ダブルクリックすると、旬のリストが表示されます。リストから選択します。選択しないと「下旬」と見なされます。</t>
        </r>
      </text>
    </comment>
    <comment ref="L15" authorId="0">
      <text>
        <r>
          <rPr>
            <sz val="11"/>
            <color indexed="81"/>
            <rFont val="ＭＳ Ｐゴシック"/>
            <family val="3"/>
            <charset val="128"/>
          </rPr>
          <t>作付したい最小の面積を、</t>
        </r>
        <r>
          <rPr>
            <b/>
            <sz val="11"/>
            <color indexed="10"/>
            <rFont val="ＭＳ Ｐゴシック"/>
            <family val="3"/>
            <charset val="128"/>
          </rPr>
          <t>ha</t>
        </r>
        <r>
          <rPr>
            <sz val="11"/>
            <color indexed="81"/>
            <rFont val="ＭＳ Ｐゴシック"/>
            <family val="3"/>
            <charset val="128"/>
          </rPr>
          <t xml:space="preserve">単位で入力します。固定した面積を作付けしたいときは、同じ数値を作付上限にも入力します。
</t>
        </r>
      </text>
    </comment>
    <comment ref="L16" authorId="0">
      <text>
        <r>
          <rPr>
            <sz val="11"/>
            <color indexed="81"/>
            <rFont val="ＭＳ Ｐゴシック"/>
            <family val="3"/>
            <charset val="128"/>
          </rPr>
          <t>作付したい最大の面積を、</t>
        </r>
        <r>
          <rPr>
            <b/>
            <sz val="11"/>
            <color indexed="10"/>
            <rFont val="ＭＳ Ｐゴシック"/>
            <family val="3"/>
            <charset val="128"/>
          </rPr>
          <t>ha</t>
        </r>
        <r>
          <rPr>
            <sz val="11"/>
            <color indexed="81"/>
            <rFont val="ＭＳ Ｐゴシック"/>
            <family val="3"/>
            <charset val="128"/>
          </rPr>
          <t xml:space="preserve">単位で入力します。固定した面積を作付けしたいときは、同じ数値を作付下限にも入力します。
</t>
        </r>
      </text>
    </comment>
    <comment ref="C25" authorId="0">
      <text>
        <r>
          <rPr>
            <sz val="11"/>
            <color indexed="81"/>
            <rFont val="ＭＳ Ｐゴシック"/>
            <family val="3"/>
            <charset val="128"/>
          </rPr>
          <t>この数値は入力できません。
種苗費からその他費用までを合計します。</t>
        </r>
      </text>
    </comment>
    <comment ref="C27" authorId="0">
      <text>
        <r>
          <rPr>
            <sz val="11"/>
            <color indexed="81"/>
            <rFont val="ＭＳ Ｐゴシック"/>
            <family val="3"/>
            <charset val="128"/>
          </rPr>
          <t>この数値は入力できません。
(粗収益－変動費)で計算します。</t>
        </r>
      </text>
    </comment>
  </commentList>
</comments>
</file>

<file path=xl/comments4.xml><?xml version="1.0" encoding="utf-8"?>
<comments xmlns="http://schemas.openxmlformats.org/spreadsheetml/2006/main">
  <authors>
    <author>山口県</author>
    <author>kazuoki3</author>
    <author>masa</author>
  </authors>
  <commentList>
    <comment ref="A1" authorId="0">
      <text>
        <r>
          <rPr>
            <b/>
            <sz val="11"/>
            <color indexed="81"/>
            <rFont val="ＭＳ Ｐゴシック"/>
            <family val="3"/>
            <charset val="128"/>
          </rPr>
          <t>黄色のセルに直接記入してください。その他のセルは自動的に参照または計算されます。</t>
        </r>
      </text>
    </comment>
    <comment ref="E1" authorId="1">
      <text>
        <r>
          <rPr>
            <b/>
            <sz val="9"/>
            <color indexed="81"/>
            <rFont val="ＭＳ Ｐゴシック"/>
            <family val="3"/>
            <charset val="128"/>
          </rPr>
          <t>=技術体系入力!F2*100</t>
        </r>
      </text>
    </comment>
    <comment ref="I2" authorId="2">
      <text>
        <r>
          <rPr>
            <b/>
            <sz val="11"/>
            <color indexed="8"/>
            <rFont val="ＭＳ Ｐゴシック"/>
            <family val="3"/>
            <charset val="128"/>
          </rPr>
          <t xml:space="preserve">農家負担率
</t>
        </r>
        <r>
          <rPr>
            <sz val="11"/>
            <color indexed="8"/>
            <rFont val="ＭＳ Ｐゴシック"/>
            <family val="3"/>
            <charset val="128"/>
          </rPr>
          <t>補助事業を活用する場合に、農家が最終的に負担する割合（補助残率）を記入します。</t>
        </r>
      </text>
    </comment>
    <comment ref="J2" authorId="2">
      <text>
        <r>
          <rPr>
            <b/>
            <sz val="9"/>
            <color indexed="8"/>
            <rFont val="ＭＳ Ｐゴシック"/>
            <family val="3"/>
            <charset val="128"/>
          </rPr>
          <t xml:space="preserve">単価
</t>
        </r>
        <r>
          <rPr>
            <sz val="9"/>
            <color indexed="8"/>
            <rFont val="ＭＳ Ｐゴシック"/>
            <family val="3"/>
            <charset val="128"/>
          </rPr>
          <t xml:space="preserve">補助等を控除しない通常取得する場合の購入価格を入力します
</t>
        </r>
      </text>
    </comment>
    <comment ref="K2" authorId="2">
      <text>
        <r>
          <rPr>
            <b/>
            <sz val="9"/>
            <color indexed="8"/>
            <rFont val="ＭＳ Ｐゴシック"/>
            <family val="3"/>
            <charset val="128"/>
          </rPr>
          <t xml:space="preserve">取得価格
</t>
        </r>
        <r>
          <rPr>
            <sz val="9"/>
            <color indexed="8"/>
            <rFont val="ＭＳ Ｐゴシック"/>
            <family val="3"/>
            <charset val="128"/>
          </rPr>
          <t xml:space="preserve">取得価格＝単価×数量
</t>
        </r>
      </text>
    </comment>
    <comment ref="L2" authorId="2">
      <text>
        <r>
          <rPr>
            <b/>
            <sz val="9"/>
            <color indexed="8"/>
            <rFont val="ＭＳ Ｐゴシック"/>
            <family val="3"/>
            <charset val="128"/>
          </rPr>
          <t xml:space="preserve">農家取得価格
</t>
        </r>
        <r>
          <rPr>
            <sz val="9"/>
            <color indexed="8"/>
            <rFont val="ＭＳ Ｐゴシック"/>
            <family val="3"/>
            <charset val="128"/>
          </rPr>
          <t xml:space="preserve">農家取得価格＝取得価格×農家負担率
</t>
        </r>
      </text>
    </comment>
    <comment ref="M3" authorId="2">
      <text>
        <r>
          <rPr>
            <sz val="11"/>
            <color indexed="8"/>
            <rFont val="ＭＳ Ｐゴシック"/>
            <family val="3"/>
            <charset val="128"/>
          </rPr>
          <t>●当該施設・機械を他の作物でも利用することが想定される場合は、利用面積で按分した割合を入力してください。
●わからない場合は「100」を入力してください。</t>
        </r>
      </text>
    </comment>
    <comment ref="R35" authorId="2">
      <text>
        <r>
          <rPr>
            <sz val="9"/>
            <color indexed="8"/>
            <rFont val="ＭＳ Ｐゴシック"/>
            <family val="3"/>
            <charset val="128"/>
          </rPr>
          <t xml:space="preserve">総償却額÷年償却額
</t>
        </r>
      </text>
    </comment>
    <comment ref="J36" authorId="2">
      <text>
        <r>
          <rPr>
            <sz val="9"/>
            <color indexed="8"/>
            <rFont val="ＭＳ Ｐゴシック"/>
            <family val="3"/>
            <charset val="128"/>
          </rPr>
          <t xml:space="preserve">平均負担価格
＝（負担価格－残存価格）÷２＋残存価格
耐用年数の中間年の評価額
</t>
        </r>
      </text>
    </comment>
    <comment ref="Q39" authorId="2">
      <text>
        <r>
          <rPr>
            <sz val="9"/>
            <color indexed="8"/>
            <rFont val="ＭＳ Ｐゴシック"/>
            <family val="3"/>
            <charset val="128"/>
          </rPr>
          <t xml:space="preserve">大植物を除く
</t>
        </r>
      </text>
    </comment>
  </commentList>
</comments>
</file>

<file path=xl/comments5.xml><?xml version="1.0" encoding="utf-8"?>
<comments xmlns="http://schemas.openxmlformats.org/spreadsheetml/2006/main">
  <authors>
    <author>kazuoki3</author>
    <author>山口県</author>
    <author>015209</author>
  </authors>
  <commentList>
    <comment ref="A1" authorId="0">
      <text>
        <r>
          <rPr>
            <b/>
            <sz val="9"/>
            <color indexed="81"/>
            <rFont val="ＭＳ Ｐゴシック"/>
            <family val="3"/>
            <charset val="128"/>
          </rPr>
          <t>=IF(技術体系入力!B2=0,"",技術体系入力!B2)</t>
        </r>
      </text>
    </comment>
    <comment ref="D1" authorId="0">
      <text>
        <r>
          <rPr>
            <b/>
            <sz val="9"/>
            <color indexed="81"/>
            <rFont val="ＭＳ Ｐゴシック"/>
            <family val="3"/>
            <charset val="128"/>
          </rPr>
          <t>=IF(技術体系入力!D2=0,"",技術体系入力!D2)</t>
        </r>
      </text>
    </comment>
    <comment ref="A2" authorId="0">
      <text>
        <r>
          <rPr>
            <sz val="9"/>
            <color indexed="81"/>
            <rFont val="ＭＳ Ｐゴシック"/>
            <family val="3"/>
            <charset val="128"/>
          </rPr>
          <t>=作業名</t>
        </r>
      </text>
    </comment>
    <comment ref="B2" authorId="0">
      <text>
        <r>
          <rPr>
            <sz val="9"/>
            <color indexed="81"/>
            <rFont val="ＭＳ Ｐゴシック"/>
            <family val="3"/>
            <charset val="128"/>
          </rPr>
          <t>=月旬</t>
        </r>
      </text>
    </comment>
    <comment ref="C2" authorId="1">
      <text>
        <r>
          <rPr>
            <b/>
            <sz val="11"/>
            <color indexed="81"/>
            <rFont val="ＭＳ Ｐゴシック"/>
            <family val="3"/>
            <charset val="128"/>
          </rPr>
          <t>=「償却資産」シート
　「機械」</t>
        </r>
      </text>
    </comment>
    <comment ref="E2" authorId="2">
      <text>
        <r>
          <rPr>
            <b/>
            <sz val="9"/>
            <color indexed="81"/>
            <rFont val="ＭＳ Ｐゴシック"/>
            <family val="3"/>
            <charset val="128"/>
          </rPr>
          <t>黄色のセルは直接入力、緑のセルはプルダウンリストから選択してください。</t>
        </r>
        <r>
          <rPr>
            <sz val="9"/>
            <color indexed="81"/>
            <rFont val="ＭＳ Ｐゴシック"/>
            <family val="3"/>
            <charset val="128"/>
          </rPr>
          <t xml:space="preserve">
</t>
        </r>
      </text>
    </comment>
    <comment ref="F2" authorId="2">
      <text>
        <r>
          <rPr>
            <b/>
            <sz val="9"/>
            <color indexed="81"/>
            <rFont val="ＭＳ Ｐゴシック"/>
            <family val="3"/>
            <charset val="128"/>
          </rPr>
          <t>1作業あたりの
時間・人数を入力</t>
        </r>
      </text>
    </comment>
    <comment ref="L3" authorId="2">
      <text>
        <r>
          <rPr>
            <b/>
            <sz val="9"/>
            <color indexed="81"/>
            <rFont val="ＭＳ Ｐゴシック"/>
            <family val="3"/>
            <charset val="128"/>
          </rPr>
          <t>1作業あたりの
時間を入力</t>
        </r>
      </text>
    </comment>
  </commentList>
</comments>
</file>

<file path=xl/comments6.xml><?xml version="1.0" encoding="utf-8"?>
<comments xmlns="http://schemas.openxmlformats.org/spreadsheetml/2006/main">
  <authors>
    <author>山口県</author>
    <author>kazuoki3</author>
    <author>masa</author>
  </authors>
  <commentList>
    <comment ref="B1" authorId="0">
      <text>
        <r>
          <rPr>
            <b/>
            <sz val="9"/>
            <color indexed="81"/>
            <rFont val="ＭＳ Ｐゴシック"/>
            <family val="3"/>
            <charset val="128"/>
          </rPr>
          <t>黄色のセルは直接入力、緑のセルはプルダウンリストから選ぶか、または、自動計算されます。</t>
        </r>
      </text>
    </comment>
    <comment ref="B2" authorId="1">
      <text>
        <r>
          <rPr>
            <sz val="9"/>
            <color indexed="81"/>
            <rFont val="ＭＳ Ｐゴシック"/>
            <family val="3"/>
            <charset val="128"/>
          </rPr>
          <t>科目設定シート参照（=科目）</t>
        </r>
      </text>
    </comment>
    <comment ref="D2" authorId="2">
      <text>
        <r>
          <rPr>
            <sz val="11"/>
            <color indexed="8"/>
            <rFont val="ＭＳ Ｐゴシック"/>
            <family val="3"/>
            <charset val="128"/>
          </rPr>
          <t>経営全体あるいは該当作目全体で利用する数量を入力する。
ここでは案分を考慮した数値を入れない。
10a当りのあん分等は負担率で調整する</t>
        </r>
      </text>
    </comment>
    <comment ref="E2" authorId="1">
      <text>
        <r>
          <rPr>
            <sz val="9"/>
            <color indexed="81"/>
            <rFont val="ＭＳ Ｐゴシック"/>
            <family val="3"/>
            <charset val="128"/>
          </rPr>
          <t>=単位</t>
        </r>
      </text>
    </comment>
    <comment ref="F2" authorId="2">
      <text>
        <r>
          <rPr>
            <sz val="11"/>
            <color indexed="8"/>
            <rFont val="ＭＳ Ｐゴシック"/>
            <family val="3"/>
            <charset val="128"/>
          </rPr>
          <t>単価欄には物材そのものの金額（単価）を入力し、10a当りに案分する場合は負担率を使う。
例）１個１万円の資材を20aで使用する場合は、
　数量１、単価１万円、負担率50%と入力する。
　悪い例１：数量１、単価５千円、負担率100%
　悪い例２：数量0.5、単価１万円、負担率100%</t>
        </r>
      </text>
    </comment>
    <comment ref="G2" authorId="2">
      <text>
        <r>
          <rPr>
            <sz val="11"/>
            <color indexed="8"/>
            <rFont val="ＭＳ Ｐゴシック"/>
            <family val="3"/>
            <charset val="128"/>
          </rPr>
          <t>使用可能年数を入力
１０万円未満で複数年利用できる機械や資材等は、一般に単年度の経費とするが、ここでは使用年数で除した金額を単年度経費とする。</t>
        </r>
      </text>
    </comment>
    <comment ref="H2" authorId="2">
      <text>
        <r>
          <rPr>
            <sz val="11"/>
            <color indexed="8"/>
            <rFont val="ＭＳ Ｐゴシック"/>
            <family val="3"/>
            <charset val="128"/>
          </rPr>
          <t>①年間に該当作目が経営全体の中で負担する率を必ず入力
　例：抑制と促成の年２回利用する場合には、各作型で50%とする
②10a当りに換算するための調整数値として入力する。
　例：１個１万円の資材を20aで使用する場合は、
　　　数量１、単価１万円、負担率50%と入力する。
①と②両方が必要な場合は①×②の数値を入力する。
負担率の詳細を備考へメモしておく。</t>
        </r>
      </text>
    </comment>
    <comment ref="W2" authorId="2">
      <text>
        <r>
          <rPr>
            <sz val="9"/>
            <color indexed="8"/>
            <rFont val="ＭＳ Ｐゴシック"/>
            <family val="3"/>
            <charset val="128"/>
          </rPr>
          <t xml:space="preserve">負担率の根拠等を入力してください
</t>
        </r>
      </text>
    </comment>
  </commentList>
</comments>
</file>

<file path=xl/sharedStrings.xml><?xml version="1.0" encoding="utf-8"?>
<sst xmlns="http://schemas.openxmlformats.org/spreadsheetml/2006/main" count="1369" uniqueCount="637">
  <si>
    <t>品目</t>
  </si>
  <si>
    <t>品種</t>
  </si>
  <si>
    <t>該当する地域</t>
  </si>
  <si>
    <t>技術体系</t>
  </si>
  <si>
    <t>作業名</t>
  </si>
  <si>
    <t>作業内容</t>
  </si>
  <si>
    <t>時期</t>
  </si>
  <si>
    <t>投下資材及び使用設備</t>
  </si>
  <si>
    <t>備考（データ出典等）</t>
  </si>
  <si>
    <t>償却資産</t>
  </si>
  <si>
    <t>想定面積：</t>
  </si>
  <si>
    <t>a</t>
  </si>
  <si>
    <t>種  類</t>
  </si>
  <si>
    <t>構造能力</t>
  </si>
  <si>
    <t>数　量</t>
  </si>
  <si>
    <t>単　位</t>
  </si>
  <si>
    <t>残存率</t>
  </si>
  <si>
    <t>耐用年数</t>
  </si>
  <si>
    <t>農家負担率</t>
  </si>
  <si>
    <t>単価</t>
  </si>
  <si>
    <t>取得価格</t>
  </si>
  <si>
    <t>農 家</t>
  </si>
  <si>
    <t>該当作目</t>
  </si>
  <si>
    <t>(事業費)</t>
  </si>
  <si>
    <t>負担率</t>
  </si>
  <si>
    <t>負担価格</t>
  </si>
  <si>
    <t>残存価格</t>
  </si>
  <si>
    <t xml:space="preserve">総償却額  </t>
  </si>
  <si>
    <t xml:space="preserve">年償却額    </t>
  </si>
  <si>
    <t>年修理費</t>
  </si>
  <si>
    <t>備　考</t>
  </si>
  <si>
    <t>(10a当り)</t>
  </si>
  <si>
    <t>建</t>
  </si>
  <si>
    <t>物</t>
  </si>
  <si>
    <t>施</t>
  </si>
  <si>
    <t>設</t>
  </si>
  <si>
    <t>小 計(2)</t>
  </si>
  <si>
    <t>大植物</t>
  </si>
  <si>
    <t>小 計(3)</t>
  </si>
  <si>
    <t>計 (1)+(2)+(3)+(4)</t>
  </si>
  <si>
    <t>修理費係数の設定</t>
  </si>
  <si>
    <t>係数値</t>
  </si>
  <si>
    <t>負債利子計算</t>
  </si>
  <si>
    <t>全体</t>
  </si>
  <si>
    <t>建物・機械</t>
  </si>
  <si>
    <t>施設</t>
  </si>
  <si>
    <t>平均耐用年数</t>
  </si>
  <si>
    <t>①</t>
  </si>
  <si>
    <t>建物・施設</t>
  </si>
  <si>
    <t>平均負担価格</t>
  </si>
  <si>
    <t>建物</t>
  </si>
  <si>
    <t>②</t>
  </si>
  <si>
    <t>大農具</t>
  </si>
  <si>
    <t>投下固定資本中の借入資本比率</t>
  </si>
  <si>
    <t>借入資本額</t>
  </si>
  <si>
    <t>機械</t>
  </si>
  <si>
    <t>10a当たり借入資本額</t>
  </si>
  <si>
    <t>負債利子率</t>
  </si>
  <si>
    <t>10a当たり負債利子額</t>
  </si>
  <si>
    <t>作業期間</t>
  </si>
  <si>
    <t>原動機</t>
  </si>
  <si>
    <t>作業機械名
規格</t>
  </si>
  <si>
    <t>燃料</t>
  </si>
  <si>
    <t>備考</t>
  </si>
  <si>
    <t>基幹労働時間</t>
  </si>
  <si>
    <t>補助労働時間</t>
  </si>
  <si>
    <t>労働時間合計</t>
  </si>
  <si>
    <t>種類</t>
  </si>
  <si>
    <t>8月上旬</t>
  </si>
  <si>
    <t>軽油</t>
  </si>
  <si>
    <t>8月下旬</t>
  </si>
  <si>
    <t>ガソリン</t>
  </si>
  <si>
    <t>10月中旬</t>
  </si>
  <si>
    <t>9月下旬</t>
  </si>
  <si>
    <t>12月上旬</t>
  </si>
  <si>
    <t>11月上旬</t>
  </si>
  <si>
    <t>(10a当たり）</t>
  </si>
  <si>
    <t>科目</t>
  </si>
  <si>
    <t>名　称</t>
  </si>
  <si>
    <t>数量</t>
  </si>
  <si>
    <t>単位</t>
  </si>
  <si>
    <t>使用年数</t>
  </si>
  <si>
    <t>負担数量</t>
  </si>
  <si>
    <t>金　額</t>
  </si>
  <si>
    <t>使用濃度</t>
  </si>
  <si>
    <t>散布量</t>
  </si>
  <si>
    <t>散布回数</t>
  </si>
  <si>
    <t>参考使用量</t>
  </si>
  <si>
    <t>N成分率</t>
  </si>
  <si>
    <t>P成分率</t>
  </si>
  <si>
    <t>K成分率</t>
  </si>
  <si>
    <t>N成分量</t>
  </si>
  <si>
    <t>P成分量</t>
  </si>
  <si>
    <t>K成分量</t>
  </si>
  <si>
    <t>備    考</t>
  </si>
  <si>
    <t>肥料費</t>
  </si>
  <si>
    <t>土づくり肥料</t>
  </si>
  <si>
    <t>配合肥料</t>
  </si>
  <si>
    <t>種苗費</t>
  </si>
  <si>
    <t>種子</t>
  </si>
  <si>
    <t>袋</t>
  </si>
  <si>
    <t>農業薬剤費</t>
  </si>
  <si>
    <t>除草剤</t>
  </si>
  <si>
    <t>ml</t>
  </si>
  <si>
    <t>殺菌剤</t>
  </si>
  <si>
    <t>g</t>
  </si>
  <si>
    <t>殺虫剤</t>
  </si>
  <si>
    <t>通年</t>
  </si>
  <si>
    <t>管理費用</t>
  </si>
  <si>
    <t>保険料・共済掛金</t>
  </si>
  <si>
    <t>年間</t>
  </si>
  <si>
    <t>農業用租税公課</t>
  </si>
  <si>
    <t>粗収益</t>
  </si>
  <si>
    <t>主産物</t>
  </si>
  <si>
    <t>Kg</t>
  </si>
  <si>
    <t>諸材料費</t>
  </si>
  <si>
    <t>その他資材</t>
  </si>
  <si>
    <t>個</t>
  </si>
  <si>
    <t>賃借料・利用料</t>
  </si>
  <si>
    <t>施設・機械等リース料</t>
  </si>
  <si>
    <t>回</t>
  </si>
  <si>
    <t>土地改良・水利費</t>
  </si>
  <si>
    <t>水利費</t>
  </si>
  <si>
    <t>支払地代</t>
  </si>
  <si>
    <t>事務費</t>
  </si>
  <si>
    <t>販売費用</t>
  </si>
  <si>
    <t>運賃</t>
  </si>
  <si>
    <t>雇用労働費</t>
  </si>
  <si>
    <t>時間</t>
  </si>
  <si>
    <t>２．作業体系及び労働時間（10a当たり）</t>
  </si>
  <si>
    <t>単位：時間</t>
  </si>
  <si>
    <t>月　別</t>
  </si>
  <si>
    <t>合計</t>
  </si>
  <si>
    <t>上</t>
  </si>
  <si>
    <t>中</t>
  </si>
  <si>
    <t>下</t>
  </si>
  <si>
    <t>　○…</t>
  </si>
  <si>
    <t>………</t>
  </si>
  <si>
    <t>―――</t>
  </si>
  <si>
    <t>■■■</t>
  </si>
  <si>
    <t>…◎―</t>
  </si>
  <si>
    <t>基幹労働</t>
  </si>
  <si>
    <t>補助労働</t>
  </si>
  <si>
    <t>基幹＋補助</t>
  </si>
  <si>
    <t>区分</t>
  </si>
  <si>
    <t>10a当り</t>
  </si>
  <si>
    <t>算  出  基  礎(10a当り)</t>
  </si>
  <si>
    <t>主  産  物</t>
  </si>
  <si>
    <t>副 産 物 等</t>
  </si>
  <si>
    <t xml:space="preserve">  合  計  (A)</t>
  </si>
  <si>
    <t>生産費用</t>
  </si>
  <si>
    <t>農薬費</t>
  </si>
  <si>
    <t>動力・光熱費</t>
  </si>
  <si>
    <t>農具費</t>
  </si>
  <si>
    <t>農機具修繕費</t>
  </si>
  <si>
    <t>小計</t>
  </si>
  <si>
    <t>手数料</t>
  </si>
  <si>
    <t>包装資材</t>
  </si>
  <si>
    <t>選果料</t>
  </si>
  <si>
    <t>その他</t>
  </si>
  <si>
    <t>支払利子</t>
  </si>
  <si>
    <t>合計　(B)</t>
  </si>
  <si>
    <t>台</t>
  </si>
  <si>
    <t>固定区分</t>
  </si>
  <si>
    <t>副産物</t>
  </si>
  <si>
    <t>奨励金</t>
  </si>
  <si>
    <t>苗</t>
  </si>
  <si>
    <t>その他種苗</t>
  </si>
  <si>
    <t>変動</t>
  </si>
  <si>
    <t>堆肥,有機質肥料</t>
  </si>
  <si>
    <t>微量要素</t>
  </si>
  <si>
    <t>液肥</t>
  </si>
  <si>
    <t>その他肥料</t>
  </si>
  <si>
    <t>殺虫殺菌剤</t>
  </si>
  <si>
    <t>成長調整剤</t>
  </si>
  <si>
    <t>その他農薬</t>
  </si>
  <si>
    <t>Ａ重油</t>
  </si>
  <si>
    <t>電気料</t>
  </si>
  <si>
    <t>畑潅水使用料</t>
  </si>
  <si>
    <t>混合油</t>
  </si>
  <si>
    <t>灯油</t>
  </si>
  <si>
    <t>水道</t>
  </si>
  <si>
    <t>育苗資材</t>
  </si>
  <si>
    <t>被覆資材</t>
  </si>
  <si>
    <t>誘引用資材</t>
  </si>
  <si>
    <t>ハウス被覆資材</t>
  </si>
  <si>
    <t>小農具</t>
  </si>
  <si>
    <t>その他農具</t>
  </si>
  <si>
    <t>修理費</t>
  </si>
  <si>
    <t>土地改良費</t>
  </si>
  <si>
    <t>賃借料</t>
  </si>
  <si>
    <t>利用料</t>
  </si>
  <si>
    <t>その他料金</t>
  </si>
  <si>
    <t>固定</t>
  </si>
  <si>
    <t>その他販売</t>
  </si>
  <si>
    <t>研修費</t>
  </si>
  <si>
    <t>通信費</t>
  </si>
  <si>
    <t>作業用衣料費</t>
  </si>
  <si>
    <t>その他管理</t>
  </si>
  <si>
    <t>月旬</t>
  </si>
  <si>
    <t>燃料種類</t>
  </si>
  <si>
    <t>1月上旬</t>
  </si>
  <si>
    <t>1月中旬</t>
  </si>
  <si>
    <t>t</t>
  </si>
  <si>
    <t>1月下旬</t>
  </si>
  <si>
    <t>不明</t>
  </si>
  <si>
    <t>2月上旬</t>
  </si>
  <si>
    <t>2月中旬</t>
  </si>
  <si>
    <t>ﾘｯﾄﾙ</t>
  </si>
  <si>
    <t>動力光熱費</t>
  </si>
  <si>
    <t>2月下旬</t>
  </si>
  <si>
    <t>錠</t>
  </si>
  <si>
    <t>3月上旬</t>
  </si>
  <si>
    <t>m</t>
  </si>
  <si>
    <t>3月中旬</t>
  </si>
  <si>
    <t>cc</t>
  </si>
  <si>
    <t>3月下旬</t>
  </si>
  <si>
    <t>mg</t>
  </si>
  <si>
    <t>4月上旬</t>
  </si>
  <si>
    <t>本</t>
  </si>
  <si>
    <t>販売経費</t>
  </si>
  <si>
    <t>4月中旬</t>
  </si>
  <si>
    <t>4月下旬</t>
  </si>
  <si>
    <t>kw</t>
  </si>
  <si>
    <t>その他（変動）</t>
  </si>
  <si>
    <t>5月上旬</t>
  </si>
  <si>
    <t>その他（固定）</t>
  </si>
  <si>
    <t>5月中旬</t>
  </si>
  <si>
    <t>箱</t>
  </si>
  <si>
    <t>5月下旬</t>
  </si>
  <si>
    <t>円</t>
  </si>
  <si>
    <t>6月上旬</t>
  </si>
  <si>
    <t>枚</t>
  </si>
  <si>
    <t>6月中旬</t>
  </si>
  <si>
    <t>組</t>
  </si>
  <si>
    <t>6月下旬</t>
  </si>
  <si>
    <t>7月上旬</t>
  </si>
  <si>
    <t>巻</t>
  </si>
  <si>
    <t>7月中旬</t>
  </si>
  <si>
    <t>7月下旬</t>
  </si>
  <si>
    <t>8月中旬</t>
  </si>
  <si>
    <t>Kg（本鉢・個）／10a</t>
  </si>
  <si>
    <t>箱／10a</t>
  </si>
  <si>
    <t>9月上旬</t>
  </si>
  <si>
    <t>円／10a</t>
  </si>
  <si>
    <t>9月中旬</t>
  </si>
  <si>
    <t>円／Kg（本鉢・個）</t>
  </si>
  <si>
    <t>10月上旬</t>
  </si>
  <si>
    <t>円／箱</t>
  </si>
  <si>
    <t>10月下旬</t>
  </si>
  <si>
    <t>11月中旬</t>
  </si>
  <si>
    <t>11月下旬</t>
  </si>
  <si>
    <t>12月中旬</t>
  </si>
  <si>
    <t>12月下旬</t>
  </si>
  <si>
    <t>基幹労働</t>
    <rPh sb="0" eb="2">
      <t>キカン</t>
    </rPh>
    <rPh sb="2" eb="4">
      <t>ロウドウ</t>
    </rPh>
    <phoneticPr fontId="14"/>
  </si>
  <si>
    <t>補助労働</t>
    <rPh sb="0" eb="2">
      <t>ホジョ</t>
    </rPh>
    <rPh sb="2" eb="4">
      <t>ロウドウ</t>
    </rPh>
    <phoneticPr fontId="14"/>
  </si>
  <si>
    <t>労働費（①）</t>
    <phoneticPr fontId="14"/>
  </si>
  <si>
    <t>支払地代（②）</t>
    <phoneticPr fontId="14"/>
  </si>
  <si>
    <t>利　　潤 (A-B=③)</t>
    <rPh sb="0" eb="1">
      <t>リ</t>
    </rPh>
    <rPh sb="3" eb="4">
      <t>ジュン</t>
    </rPh>
    <phoneticPr fontId="14"/>
  </si>
  <si>
    <t>構成員還元額（①＋②＋③）</t>
    <rPh sb="0" eb="3">
      <t>コウセイイン</t>
    </rPh>
    <rPh sb="3" eb="5">
      <t>カンゲン</t>
    </rPh>
    <rPh sb="5" eb="6">
      <t>ガク</t>
    </rPh>
    <phoneticPr fontId="14"/>
  </si>
  <si>
    <t>経営収支</t>
    <phoneticPr fontId="14"/>
  </si>
  <si>
    <t>経　営　費</t>
    <phoneticPr fontId="14"/>
  </si>
  <si>
    <t>アメダスポイント名</t>
    <rPh sb="8" eb="9">
      <t>メイ</t>
    </rPh>
    <phoneticPr fontId="14"/>
  </si>
  <si>
    <t>01岩国</t>
  </si>
  <si>
    <t>02柳井</t>
  </si>
  <si>
    <t>03玖珂</t>
  </si>
  <si>
    <t>04下松</t>
  </si>
  <si>
    <t>05防府</t>
  </si>
  <si>
    <t>06山口</t>
  </si>
  <si>
    <t>07秋吉台</t>
  </si>
  <si>
    <t>14須佐</t>
  </si>
  <si>
    <t>08宇部</t>
  </si>
  <si>
    <t>13徳佐</t>
  </si>
  <si>
    <t>12萩</t>
  </si>
  <si>
    <t>11油谷</t>
  </si>
  <si>
    <t>10豊田</t>
  </si>
  <si>
    <t>09下関</t>
  </si>
  <si>
    <t>支払利子</t>
    <rPh sb="0" eb="2">
      <t>シハライ</t>
    </rPh>
    <phoneticPr fontId="14"/>
  </si>
  <si>
    <t>技術・作型</t>
    <rPh sb="0" eb="2">
      <t>ギジュツ</t>
    </rPh>
    <phoneticPr fontId="14"/>
  </si>
  <si>
    <t>作業名</t>
    <rPh sb="0" eb="2">
      <t>サギョウ</t>
    </rPh>
    <rPh sb="2" eb="3">
      <t>メイ</t>
    </rPh>
    <phoneticPr fontId="14"/>
  </si>
  <si>
    <t>作業体系</t>
    <rPh sb="0" eb="2">
      <t>サギョウ</t>
    </rPh>
    <rPh sb="2" eb="4">
      <t>タイケイ</t>
    </rPh>
    <phoneticPr fontId="14"/>
  </si>
  <si>
    <t>収支データ入力</t>
    <phoneticPr fontId="14"/>
  </si>
  <si>
    <t>飼料費</t>
    <rPh sb="0" eb="2">
      <t>シリョウ</t>
    </rPh>
    <rPh sb="2" eb="3">
      <t>ヒ</t>
    </rPh>
    <phoneticPr fontId="14"/>
  </si>
  <si>
    <t>素畜費</t>
    <rPh sb="0" eb="1">
      <t>モト</t>
    </rPh>
    <rPh sb="1" eb="2">
      <t>チク</t>
    </rPh>
    <rPh sb="2" eb="3">
      <t>ヒ</t>
    </rPh>
    <phoneticPr fontId="14"/>
  </si>
  <si>
    <t>敷料費</t>
    <rPh sb="0" eb="1">
      <t>シ</t>
    </rPh>
    <rPh sb="1" eb="2">
      <t>リョウ</t>
    </rPh>
    <rPh sb="2" eb="3">
      <t>ヒ</t>
    </rPh>
    <phoneticPr fontId="14"/>
  </si>
  <si>
    <t>種付料</t>
    <rPh sb="0" eb="2">
      <t>タネツケ</t>
    </rPh>
    <rPh sb="2" eb="3">
      <t>リョウ</t>
    </rPh>
    <phoneticPr fontId="14"/>
  </si>
  <si>
    <t>診療・医薬品費</t>
    <rPh sb="0" eb="2">
      <t>シンリョウ</t>
    </rPh>
    <rPh sb="3" eb="6">
      <t>イヤクヒン</t>
    </rPh>
    <rPh sb="6" eb="7">
      <t>ヒ</t>
    </rPh>
    <phoneticPr fontId="14"/>
  </si>
  <si>
    <t>育苗管理</t>
  </si>
  <si>
    <t>ハウス管理</t>
  </si>
  <si>
    <t>肥培管理</t>
  </si>
  <si>
    <t>定植</t>
  </si>
  <si>
    <t>誘引</t>
  </si>
  <si>
    <t>収穫</t>
  </si>
  <si>
    <t>トマト</t>
    <phoneticPr fontId="14"/>
  </si>
  <si>
    <t>ハウス一式</t>
  </si>
  <si>
    <t>動力噴霧器</t>
  </si>
  <si>
    <t>軽トラック</t>
  </si>
  <si>
    <t>育苗ハウス</t>
  </si>
  <si>
    <t>棟</t>
    <rPh sb="0" eb="1">
      <t>トウ</t>
    </rPh>
    <phoneticPr fontId="14"/>
  </si>
  <si>
    <t>資材・農機具庫</t>
    <rPh sb="0" eb="2">
      <t>シザイ</t>
    </rPh>
    <rPh sb="3" eb="6">
      <t>ノウキグ</t>
    </rPh>
    <rPh sb="6" eb="7">
      <t>コ</t>
    </rPh>
    <phoneticPr fontId="14"/>
  </si>
  <si>
    <t>育苗培土</t>
  </si>
  <si>
    <t>セルトレイ（セルトレイ）128穴</t>
  </si>
  <si>
    <t>育苗箱</t>
  </si>
  <si>
    <t>苗ポット（9cm)</t>
  </si>
  <si>
    <t>つりっ子</t>
  </si>
  <si>
    <t>採果バサミ</t>
  </si>
  <si>
    <t>剪定バサミ</t>
  </si>
  <si>
    <t>アルミ製台車</t>
  </si>
  <si>
    <t>出荷資材（ﾀﾞﾝﾎﾞｰﾙ）</t>
  </si>
  <si>
    <t>出荷運賃</t>
  </si>
  <si>
    <t>ＪＡ手数料</t>
  </si>
  <si>
    <t>全農手数料</t>
  </si>
  <si>
    <t>市場手数料</t>
  </si>
  <si>
    <t>機　械</t>
    <rPh sb="0" eb="1">
      <t>キ</t>
    </rPh>
    <rPh sb="2" eb="3">
      <t>カイ</t>
    </rPh>
    <phoneticPr fontId="14"/>
  </si>
  <si>
    <t/>
  </si>
  <si>
    <t>カルハード</t>
  </si>
  <si>
    <t>計</t>
    <rPh sb="0" eb="1">
      <t>ケイ</t>
    </rPh>
    <phoneticPr fontId="14"/>
  </si>
  <si>
    <t>基幹労働
人数</t>
    <rPh sb="0" eb="2">
      <t>キカン</t>
    </rPh>
    <rPh sb="2" eb="4">
      <t>ロウドウ</t>
    </rPh>
    <rPh sb="5" eb="7">
      <t>ニンズウ</t>
    </rPh>
    <phoneticPr fontId="14"/>
  </si>
  <si>
    <t>補助労働
人数</t>
    <rPh sb="0" eb="2">
      <t>ホジョ</t>
    </rPh>
    <rPh sb="2" eb="4">
      <t>ロウドウ</t>
    </rPh>
    <rPh sb="5" eb="7">
      <t>ニンズウ</t>
    </rPh>
    <phoneticPr fontId="14"/>
  </si>
  <si>
    <t>労働時間</t>
    <rPh sb="0" eb="2">
      <t>ロウドウ</t>
    </rPh>
    <rPh sb="2" eb="4">
      <t>ジカン</t>
    </rPh>
    <phoneticPr fontId="14"/>
  </si>
  <si>
    <t>基幹労働</t>
    <phoneticPr fontId="14"/>
  </si>
  <si>
    <t>補助労働</t>
    <phoneticPr fontId="14"/>
  </si>
  <si>
    <t>灯油</t>
    <rPh sb="0" eb="2">
      <t>トウユ</t>
    </rPh>
    <phoneticPr fontId="14"/>
  </si>
  <si>
    <t>[EI]</t>
    <phoneticPr fontId="14"/>
  </si>
  <si>
    <t>SpaceFor</t>
    <phoneticPr fontId="14"/>
  </si>
  <si>
    <t>Comment</t>
    <phoneticPr fontId="14"/>
  </si>
  <si>
    <t>Ver3.25</t>
    <phoneticPr fontId="14"/>
  </si>
  <si>
    <t>経営指標の概要</t>
    <rPh sb="0" eb="2">
      <t>ケイエイ</t>
    </rPh>
    <rPh sb="2" eb="4">
      <t>シヒョウ</t>
    </rPh>
    <rPh sb="5" eb="7">
      <t>ガイヨウ</t>
    </rPh>
    <phoneticPr fontId="14"/>
  </si>
  <si>
    <t>No.</t>
    <phoneticPr fontId="14"/>
  </si>
  <si>
    <t>地域</t>
    <phoneticPr fontId="14"/>
  </si>
  <si>
    <t>作目</t>
    <phoneticPr fontId="14"/>
  </si>
  <si>
    <t>作型・品種など</t>
    <phoneticPr fontId="14"/>
  </si>
  <si>
    <t>10ａ当たり粗収益 (円、kg)</t>
    <rPh sb="6" eb="7">
      <t>ソ</t>
    </rPh>
    <rPh sb="7" eb="9">
      <t>シュウエキ</t>
    </rPh>
    <phoneticPr fontId="14"/>
  </si>
  <si>
    <t>10ａ当たり作業労働時間 (時間)</t>
    <phoneticPr fontId="14"/>
  </si>
  <si>
    <t>土地利用</t>
    <rPh sb="0" eb="4">
      <t>トチリヨウ</t>
    </rPh>
    <phoneticPr fontId="14"/>
  </si>
  <si>
    <t>単位収量</t>
    <phoneticPr fontId="14"/>
  </si>
  <si>
    <t>１月上</t>
    <phoneticPr fontId="14"/>
  </si>
  <si>
    <t>７月上</t>
    <phoneticPr fontId="14"/>
  </si>
  <si>
    <t>作付地目</t>
    <phoneticPr fontId="14"/>
  </si>
  <si>
    <t>単価</t>
    <phoneticPr fontId="14"/>
  </si>
  <si>
    <t>１月中</t>
    <phoneticPr fontId="14"/>
  </si>
  <si>
    <t>７月中</t>
    <phoneticPr fontId="14"/>
  </si>
  <si>
    <t>主食用米</t>
    <rPh sb="0" eb="3">
      <t>シュショクヨウ</t>
    </rPh>
    <rPh sb="3" eb="4">
      <t>コメ</t>
    </rPh>
    <phoneticPr fontId="14"/>
  </si>
  <si>
    <t>その他の収益</t>
    <phoneticPr fontId="14"/>
  </si>
  <si>
    <t>１月下</t>
    <phoneticPr fontId="14"/>
  </si>
  <si>
    <t>７月下</t>
    <phoneticPr fontId="14"/>
  </si>
  <si>
    <t>圃場利用/始</t>
    <phoneticPr fontId="14"/>
  </si>
  <si>
    <t>合計</t>
    <phoneticPr fontId="14"/>
  </si>
  <si>
    <t>２月上</t>
    <phoneticPr fontId="14"/>
  </si>
  <si>
    <t>８月上</t>
    <phoneticPr fontId="14"/>
  </si>
  <si>
    <t>圃場利用/終</t>
    <phoneticPr fontId="14"/>
  </si>
  <si>
    <t>10ａ当たり変動費 (円)</t>
    <rPh sb="6" eb="9">
      <t>ヘンドウヒ</t>
    </rPh>
    <phoneticPr fontId="14"/>
  </si>
  <si>
    <t>２月中</t>
    <phoneticPr fontId="14"/>
  </si>
  <si>
    <t>８月中</t>
    <phoneticPr fontId="14"/>
  </si>
  <si>
    <t>作付下限</t>
    <phoneticPr fontId="14"/>
  </si>
  <si>
    <t>種苗費</t>
    <phoneticPr fontId="14"/>
  </si>
  <si>
    <t>２月下</t>
    <phoneticPr fontId="14"/>
  </si>
  <si>
    <t>８月下</t>
    <phoneticPr fontId="14"/>
  </si>
  <si>
    <t>作付上限</t>
    <phoneticPr fontId="14"/>
  </si>
  <si>
    <t>肥料費</t>
    <phoneticPr fontId="14"/>
  </si>
  <si>
    <t>３月上</t>
    <phoneticPr fontId="14"/>
  </si>
  <si>
    <t>９月上</t>
    <phoneticPr fontId="14"/>
  </si>
  <si>
    <t>農薬衛生費</t>
    <phoneticPr fontId="14"/>
  </si>
  <si>
    <t>３月中</t>
    <phoneticPr fontId="14"/>
  </si>
  <si>
    <t>９月中</t>
    <phoneticPr fontId="14"/>
  </si>
  <si>
    <t>光熱動力費</t>
    <phoneticPr fontId="14"/>
  </si>
  <si>
    <t>３月下</t>
    <phoneticPr fontId="14"/>
  </si>
  <si>
    <t>９月下</t>
    <phoneticPr fontId="14"/>
  </si>
  <si>
    <t>その他の諸材料費</t>
    <phoneticPr fontId="14"/>
  </si>
  <si>
    <t>４月上</t>
    <phoneticPr fontId="14"/>
  </si>
  <si>
    <t>10月上</t>
    <phoneticPr fontId="14"/>
  </si>
  <si>
    <t>土地改良・水利費</t>
    <phoneticPr fontId="14"/>
  </si>
  <si>
    <t>４月中</t>
    <phoneticPr fontId="14"/>
  </si>
  <si>
    <t>10月中</t>
    <phoneticPr fontId="14"/>
  </si>
  <si>
    <t>賃借料・料金</t>
    <phoneticPr fontId="14"/>
  </si>
  <si>
    <t>４月下</t>
    <phoneticPr fontId="14"/>
  </si>
  <si>
    <t>10月下</t>
    <phoneticPr fontId="14"/>
  </si>
  <si>
    <t>荷造運賃手数料</t>
    <phoneticPr fontId="14"/>
  </si>
  <si>
    <t>５月上</t>
    <phoneticPr fontId="14"/>
  </si>
  <si>
    <t>11月上</t>
    <phoneticPr fontId="14"/>
  </si>
  <si>
    <t>その他の費用</t>
    <phoneticPr fontId="14"/>
  </si>
  <si>
    <t>５月中</t>
    <phoneticPr fontId="14"/>
  </si>
  <si>
    <t>11月中</t>
    <phoneticPr fontId="14"/>
  </si>
  <si>
    <t>５月下</t>
    <phoneticPr fontId="14"/>
  </si>
  <si>
    <t>11月下</t>
    <phoneticPr fontId="14"/>
  </si>
  <si>
    <t>６月上</t>
    <phoneticPr fontId="14"/>
  </si>
  <si>
    <t>12月上</t>
    <phoneticPr fontId="14"/>
  </si>
  <si>
    <t>比例利益 (利益係数)</t>
    <rPh sb="0" eb="2">
      <t>ヒレイ</t>
    </rPh>
    <rPh sb="6" eb="8">
      <t>リエキ</t>
    </rPh>
    <rPh sb="8" eb="10">
      <t>ケイスウ</t>
    </rPh>
    <phoneticPr fontId="14"/>
  </si>
  <si>
    <t>６月中</t>
    <phoneticPr fontId="14"/>
  </si>
  <si>
    <t>12月中</t>
    <phoneticPr fontId="14"/>
  </si>
  <si>
    <t>する</t>
  </si>
  <si>
    <t>６月下</t>
    <phoneticPr fontId="14"/>
  </si>
  <si>
    <t>12月下</t>
    <phoneticPr fontId="14"/>
  </si>
  <si>
    <t>入力方法</t>
    <rPh sb="0" eb="2">
      <t>ニュウリョク</t>
    </rPh>
    <rPh sb="2" eb="4">
      <t>ホウホウ</t>
    </rPh>
    <phoneticPr fontId="14"/>
  </si>
  <si>
    <t>セルの色</t>
    <rPh sb="3" eb="4">
      <t>イロ</t>
    </rPh>
    <phoneticPr fontId="14"/>
  </si>
  <si>
    <t>手入力</t>
    <rPh sb="0" eb="1">
      <t>テ</t>
    </rPh>
    <rPh sb="1" eb="3">
      <t>ニュウリョク</t>
    </rPh>
    <phoneticPr fontId="14"/>
  </si>
  <si>
    <t>リストから選択</t>
    <rPh sb="5" eb="7">
      <t>センタク</t>
    </rPh>
    <phoneticPr fontId="14"/>
  </si>
  <si>
    <t>自動計算(手入力しないでください)</t>
    <rPh sb="0" eb="2">
      <t>ジドウ</t>
    </rPh>
    <rPh sb="2" eb="4">
      <t>ケイサン</t>
    </rPh>
    <rPh sb="5" eb="6">
      <t>テ</t>
    </rPh>
    <rPh sb="6" eb="8">
      <t>ニュウリョク</t>
    </rPh>
    <phoneticPr fontId="14"/>
  </si>
  <si>
    <t>シートの色</t>
    <rPh sb="4" eb="5">
      <t>イロ</t>
    </rPh>
    <phoneticPr fontId="14"/>
  </si>
  <si>
    <t>必要事項を入力してください</t>
    <rPh sb="0" eb="2">
      <t>ヒツヨウ</t>
    </rPh>
    <rPh sb="2" eb="4">
      <t>ジコウ</t>
    </rPh>
    <rPh sb="5" eb="7">
      <t>ニュウリョク</t>
    </rPh>
    <phoneticPr fontId="14"/>
  </si>
  <si>
    <t>結果が反映されます</t>
    <rPh sb="0" eb="2">
      <t>ケッカ</t>
    </rPh>
    <rPh sb="3" eb="5">
      <t>ハンエイ</t>
    </rPh>
    <phoneticPr fontId="14"/>
  </si>
  <si>
    <t>参考</t>
    <rPh sb="0" eb="2">
      <t>サンコウ</t>
    </rPh>
    <phoneticPr fontId="14"/>
  </si>
  <si>
    <t>当たり労働時間（単位：時間）</t>
    <rPh sb="0" eb="1">
      <t>ア</t>
    </rPh>
    <rPh sb="3" eb="5">
      <t>ロウドウ</t>
    </rPh>
    <rPh sb="5" eb="7">
      <t>ジカン</t>
    </rPh>
    <rPh sb="8" eb="10">
      <t>タンイ</t>
    </rPh>
    <rPh sb="11" eb="13">
      <t>ジカン</t>
    </rPh>
    <phoneticPr fontId="14"/>
  </si>
  <si>
    <t>必要となる労働時間の合計</t>
    <rPh sb="0" eb="2">
      <t>ヒツヨウ</t>
    </rPh>
    <rPh sb="5" eb="7">
      <t>ロウドウ</t>
    </rPh>
    <rPh sb="7" eb="9">
      <t>ジカン</t>
    </rPh>
    <rPh sb="10" eb="12">
      <t>ゴウケイ</t>
    </rPh>
    <phoneticPr fontId="14"/>
  </si>
  <si>
    <t>余剰または不足労力</t>
    <rPh sb="0" eb="2">
      <t>ヨジョウ</t>
    </rPh>
    <rPh sb="5" eb="7">
      <t>フソク</t>
    </rPh>
    <rPh sb="7" eb="9">
      <t>ロウリョク</t>
    </rPh>
    <phoneticPr fontId="14"/>
  </si>
  <si>
    <t>ａ</t>
    <phoneticPr fontId="14"/>
  </si>
  <si>
    <t>自家労力の上限</t>
    <rPh sb="0" eb="2">
      <t>ジカ</t>
    </rPh>
    <rPh sb="2" eb="4">
      <t>ロウリョク</t>
    </rPh>
    <rPh sb="5" eb="7">
      <t>ジョウゲン</t>
    </rPh>
    <phoneticPr fontId="14"/>
  </si>
  <si>
    <t>月</t>
    <rPh sb="0" eb="1">
      <t>ツキ</t>
    </rPh>
    <phoneticPr fontId="14"/>
  </si>
  <si>
    <t>粗収益(円/10a）</t>
    <rPh sb="4" eb="5">
      <t>エン</t>
    </rPh>
    <phoneticPr fontId="14"/>
  </si>
  <si>
    <t>合計</t>
    <rPh sb="0" eb="2">
      <t>ゴウケイ</t>
    </rPh>
    <phoneticPr fontId="14"/>
  </si>
  <si>
    <t>②償却資産　建物　年修理費（10a当り）</t>
    <rPh sb="1" eb="3">
      <t>ショウキャク</t>
    </rPh>
    <rPh sb="3" eb="5">
      <t>シサン</t>
    </rPh>
    <rPh sb="6" eb="8">
      <t>タテモノ</t>
    </rPh>
    <rPh sb="9" eb="10">
      <t>ネン</t>
    </rPh>
    <rPh sb="10" eb="13">
      <t>シュウリヒ</t>
    </rPh>
    <rPh sb="17" eb="18">
      <t>ア</t>
    </rPh>
    <phoneticPr fontId="14"/>
  </si>
  <si>
    <t>施設修繕費</t>
    <rPh sb="0" eb="2">
      <t>シセツ</t>
    </rPh>
    <phoneticPr fontId="14"/>
  </si>
  <si>
    <t>②償却資産　施設　年修理費（10a当り）</t>
    <rPh sb="1" eb="3">
      <t>ショウキャク</t>
    </rPh>
    <rPh sb="3" eb="5">
      <t>シサン</t>
    </rPh>
    <rPh sb="6" eb="8">
      <t>シセツ</t>
    </rPh>
    <rPh sb="9" eb="10">
      <t>ネン</t>
    </rPh>
    <rPh sb="10" eb="13">
      <t>シュウリヒ</t>
    </rPh>
    <rPh sb="17" eb="18">
      <t>ア</t>
    </rPh>
    <phoneticPr fontId="14"/>
  </si>
  <si>
    <t>②償却資産　機械　年修理費（10a当り）</t>
    <rPh sb="1" eb="3">
      <t>ショウキャク</t>
    </rPh>
    <rPh sb="3" eb="5">
      <t>シサン</t>
    </rPh>
    <rPh sb="6" eb="8">
      <t>キカイ</t>
    </rPh>
    <rPh sb="9" eb="10">
      <t>ネン</t>
    </rPh>
    <rPh sb="10" eb="13">
      <t>シュウリヒ</t>
    </rPh>
    <rPh sb="17" eb="18">
      <t>ア</t>
    </rPh>
    <phoneticPr fontId="14"/>
  </si>
  <si>
    <t>修繕費</t>
    <rPh sb="0" eb="3">
      <t>シュウゼンヒ</t>
    </rPh>
    <phoneticPr fontId="14"/>
  </si>
  <si>
    <t>減価償却費</t>
    <rPh sb="0" eb="2">
      <t>ゲンカ</t>
    </rPh>
    <rPh sb="2" eb="4">
      <t>ショウキャク</t>
    </rPh>
    <rPh sb="4" eb="5">
      <t>ヒ</t>
    </rPh>
    <phoneticPr fontId="14"/>
  </si>
  <si>
    <t>施設</t>
    <rPh sb="0" eb="2">
      <t>シセツ</t>
    </rPh>
    <phoneticPr fontId="14"/>
  </si>
  <si>
    <t>農機具</t>
    <phoneticPr fontId="14"/>
  </si>
  <si>
    <t>大植物</t>
    <rPh sb="0" eb="1">
      <t>ダイ</t>
    </rPh>
    <rPh sb="1" eb="3">
      <t>ショクブツ</t>
    </rPh>
    <phoneticPr fontId="14"/>
  </si>
  <si>
    <t>②償却資産　建物　年償却費（10a当り）</t>
    <rPh sb="1" eb="3">
      <t>ショウキャク</t>
    </rPh>
    <rPh sb="3" eb="5">
      <t>シサン</t>
    </rPh>
    <rPh sb="6" eb="8">
      <t>タテモノ</t>
    </rPh>
    <rPh sb="9" eb="10">
      <t>ネン</t>
    </rPh>
    <rPh sb="10" eb="12">
      <t>ショウキャク</t>
    </rPh>
    <rPh sb="12" eb="13">
      <t>ヒ</t>
    </rPh>
    <rPh sb="17" eb="18">
      <t>ア</t>
    </rPh>
    <phoneticPr fontId="14"/>
  </si>
  <si>
    <t>想定規模(ha)</t>
    <phoneticPr fontId="14"/>
  </si>
  <si>
    <t>作業
回数</t>
    <phoneticPr fontId="14"/>
  </si>
  <si>
    <t>時間当り消費量</t>
    <phoneticPr fontId="14"/>
  </si>
  <si>
    <t>10a当り
消費量</t>
    <phoneticPr fontId="14"/>
  </si>
  <si>
    <t>農具費</t>
    <rPh sb="0" eb="2">
      <t>ノウグ</t>
    </rPh>
    <rPh sb="2" eb="3">
      <t>ヒ</t>
    </rPh>
    <phoneticPr fontId="14"/>
  </si>
  <si>
    <t>賃借料・利用料</t>
    <phoneticPr fontId="14"/>
  </si>
  <si>
    <t>労働配分</t>
    <rPh sb="0" eb="2">
      <t>ロウドウ</t>
    </rPh>
    <rPh sb="2" eb="4">
      <t>ハイブン</t>
    </rPh>
    <phoneticPr fontId="14"/>
  </si>
  <si>
    <t>建物修繕費</t>
    <phoneticPr fontId="14"/>
  </si>
  <si>
    <t>建物</t>
    <phoneticPr fontId="14"/>
  </si>
  <si>
    <t>時給(イ)</t>
    <rPh sb="0" eb="2">
      <t>ジキュウ</t>
    </rPh>
    <phoneticPr fontId="14"/>
  </si>
  <si>
    <t>労働費(ア)×(イ)</t>
    <rPh sb="0" eb="3">
      <t>ロウドウヒ</t>
    </rPh>
    <phoneticPr fontId="14"/>
  </si>
  <si>
    <t>粗収益</t>
    <rPh sb="0" eb="1">
      <t>ソ</t>
    </rPh>
    <rPh sb="1" eb="3">
      <t>シュウエキ</t>
    </rPh>
    <phoneticPr fontId="14"/>
  </si>
  <si>
    <t>通年</t>
    <rPh sb="0" eb="2">
      <t>ツウネン</t>
    </rPh>
    <phoneticPr fontId="14"/>
  </si>
  <si>
    <t>副産物
(円/10a)</t>
    <rPh sb="0" eb="3">
      <t>フクサンブツ</t>
    </rPh>
    <rPh sb="5" eb="6">
      <t>エン</t>
    </rPh>
    <phoneticPr fontId="14"/>
  </si>
  <si>
    <t>その他奨励金
(円/10a)</t>
    <rPh sb="2" eb="3">
      <t>タ</t>
    </rPh>
    <rPh sb="3" eb="6">
      <t>ショウレイキン</t>
    </rPh>
    <rPh sb="8" eb="9">
      <t>エン</t>
    </rPh>
    <phoneticPr fontId="14"/>
  </si>
  <si>
    <t>その他奨励金</t>
    <rPh sb="2" eb="3">
      <t>タ</t>
    </rPh>
    <rPh sb="3" eb="6">
      <t>ショウレイキン</t>
    </rPh>
    <phoneticPr fontId="14"/>
  </si>
  <si>
    <t>④収入　粗収益</t>
    <rPh sb="1" eb="3">
      <t>シュウニュウ</t>
    </rPh>
    <rPh sb="4" eb="5">
      <t>ソ</t>
    </rPh>
    <rPh sb="5" eb="7">
      <t>シュウエキ</t>
    </rPh>
    <phoneticPr fontId="14"/>
  </si>
  <si>
    <t>④収入　副産物</t>
    <rPh sb="1" eb="3">
      <t>シュウニュウ</t>
    </rPh>
    <rPh sb="4" eb="7">
      <t>フクサンブツ</t>
    </rPh>
    <phoneticPr fontId="14"/>
  </si>
  <si>
    <t>④収入　その他奨励金</t>
    <rPh sb="1" eb="3">
      <t>シュウニュウ</t>
    </rPh>
    <rPh sb="6" eb="7">
      <t>タ</t>
    </rPh>
    <rPh sb="7" eb="10">
      <t>ショウレイキン</t>
    </rPh>
    <phoneticPr fontId="14"/>
  </si>
  <si>
    <t>⑤支出　種苗費</t>
    <rPh sb="1" eb="3">
      <t>シシュツ</t>
    </rPh>
    <rPh sb="4" eb="6">
      <t>シュビョウ</t>
    </rPh>
    <rPh sb="6" eb="7">
      <t>ヒ</t>
    </rPh>
    <phoneticPr fontId="14"/>
  </si>
  <si>
    <t>⑤支出　肥料費</t>
    <rPh sb="1" eb="3">
      <t>シシュツ</t>
    </rPh>
    <rPh sb="4" eb="6">
      <t>ヒリョウ</t>
    </rPh>
    <rPh sb="6" eb="7">
      <t>ヒ</t>
    </rPh>
    <phoneticPr fontId="14"/>
  </si>
  <si>
    <t>⑤支出　農業薬剤費</t>
    <rPh sb="1" eb="3">
      <t>シシュツ</t>
    </rPh>
    <rPh sb="4" eb="6">
      <t>ノウギョウ</t>
    </rPh>
    <rPh sb="6" eb="9">
      <t>ヤクザイヒ</t>
    </rPh>
    <phoneticPr fontId="14"/>
  </si>
  <si>
    <t>⑤支出　動力光熱費</t>
    <rPh sb="1" eb="3">
      <t>シシュツ</t>
    </rPh>
    <rPh sb="4" eb="6">
      <t>ドウリョク</t>
    </rPh>
    <rPh sb="6" eb="9">
      <t>コウネツヒ</t>
    </rPh>
    <phoneticPr fontId="14"/>
  </si>
  <si>
    <t>⑤支出　諸材料費</t>
    <rPh sb="1" eb="3">
      <t>シシュツ</t>
    </rPh>
    <rPh sb="4" eb="5">
      <t>ショ</t>
    </rPh>
    <rPh sb="5" eb="8">
      <t>ザイリョウヒ</t>
    </rPh>
    <phoneticPr fontId="14"/>
  </si>
  <si>
    <t>⑤支出　農具費</t>
    <rPh sb="1" eb="3">
      <t>シシュツ</t>
    </rPh>
    <rPh sb="4" eb="6">
      <t>ノウグ</t>
    </rPh>
    <rPh sb="6" eb="7">
      <t>ヒ</t>
    </rPh>
    <phoneticPr fontId="14"/>
  </si>
  <si>
    <t>⑤支出　賃借料・利用料</t>
    <rPh sb="1" eb="3">
      <t>シシュツ</t>
    </rPh>
    <rPh sb="4" eb="7">
      <t>チンシャクリョウ</t>
    </rPh>
    <rPh sb="8" eb="11">
      <t>リヨウリョウ</t>
    </rPh>
    <phoneticPr fontId="14"/>
  </si>
  <si>
    <t>土地改良・水利費</t>
    <phoneticPr fontId="14"/>
  </si>
  <si>
    <t>⑤支出　土地改良・水利費</t>
    <rPh sb="1" eb="3">
      <t>シシュツ</t>
    </rPh>
    <phoneticPr fontId="14"/>
  </si>
  <si>
    <t>土地改良
・水利費</t>
    <phoneticPr fontId="14"/>
  </si>
  <si>
    <t>支払地代</t>
    <phoneticPr fontId="14"/>
  </si>
  <si>
    <t>賃借料・
利用料</t>
    <phoneticPr fontId="14"/>
  </si>
  <si>
    <t>保険料・共済掛金</t>
    <phoneticPr fontId="14"/>
  </si>
  <si>
    <t>保険料・
共済掛金</t>
    <phoneticPr fontId="14"/>
  </si>
  <si>
    <t>一般管理費</t>
    <phoneticPr fontId="14"/>
  </si>
  <si>
    <t>一般管理費</t>
    <phoneticPr fontId="14"/>
  </si>
  <si>
    <t>農業用租税公課</t>
    <phoneticPr fontId="14"/>
  </si>
  <si>
    <t>農業用
租税公課</t>
    <phoneticPr fontId="14"/>
  </si>
  <si>
    <t>その他</t>
    <rPh sb="2" eb="3">
      <t>タ</t>
    </rPh>
    <phoneticPr fontId="14"/>
  </si>
  <si>
    <t>⑤支出　支払地代</t>
    <rPh sb="1" eb="3">
      <t>シシュツ</t>
    </rPh>
    <rPh sb="4" eb="6">
      <t>シハライ</t>
    </rPh>
    <rPh sb="6" eb="8">
      <t>チダイ</t>
    </rPh>
    <phoneticPr fontId="14"/>
  </si>
  <si>
    <t>⑤支出　保険料・共済掛金</t>
    <rPh sb="1" eb="3">
      <t>シシュツ</t>
    </rPh>
    <rPh sb="4" eb="7">
      <t>ホケンリョウ</t>
    </rPh>
    <rPh sb="8" eb="10">
      <t>キョウサイ</t>
    </rPh>
    <rPh sb="10" eb="12">
      <t>カケキン</t>
    </rPh>
    <phoneticPr fontId="14"/>
  </si>
  <si>
    <t>⑤支出　一般管理費</t>
    <rPh sb="1" eb="3">
      <t>シシュツ</t>
    </rPh>
    <rPh sb="4" eb="6">
      <t>イッパン</t>
    </rPh>
    <rPh sb="6" eb="9">
      <t>カンリヒ</t>
    </rPh>
    <phoneticPr fontId="14"/>
  </si>
  <si>
    <t>⑤支出　農業用租税公課</t>
    <rPh sb="1" eb="3">
      <t>シシュツ</t>
    </rPh>
    <rPh sb="4" eb="7">
      <t>ノウギョウヨウ</t>
    </rPh>
    <rPh sb="7" eb="9">
      <t>ソゼイ</t>
    </rPh>
    <rPh sb="9" eb="11">
      <t>コウカ</t>
    </rPh>
    <phoneticPr fontId="14"/>
  </si>
  <si>
    <t>その他</t>
    <phoneticPr fontId="14"/>
  </si>
  <si>
    <t>⑤支出　その他</t>
    <rPh sb="1" eb="3">
      <t>シシュツ</t>
    </rPh>
    <rPh sb="6" eb="7">
      <t>タ</t>
    </rPh>
    <phoneticPr fontId="14"/>
  </si>
  <si>
    <t>中間～山間</t>
  </si>
  <si>
    <t>ほ場準備</t>
  </si>
  <si>
    <t>摘果、摘葉、芽かぎ</t>
  </si>
  <si>
    <t>防除</t>
  </si>
  <si>
    <t>選別</t>
  </si>
  <si>
    <t>出荷</t>
  </si>
  <si>
    <t>他の事業部門で負担</t>
    <rPh sb="0" eb="1">
      <t>タ</t>
    </rPh>
    <rPh sb="2" eb="4">
      <t>ジギョウ</t>
    </rPh>
    <rPh sb="4" eb="6">
      <t>ブモン</t>
    </rPh>
    <rPh sb="7" eb="9">
      <t>フタン</t>
    </rPh>
    <phoneticPr fontId="14"/>
  </si>
  <si>
    <t>棟</t>
  </si>
  <si>
    <t>式</t>
  </si>
  <si>
    <t>誘引ひも位置揃え</t>
  </si>
  <si>
    <t>2作目定植時株元処理</t>
  </si>
  <si>
    <t>台風対策</t>
  </si>
  <si>
    <t>灌水　15分/回　3日に1回</t>
  </si>
  <si>
    <t>潅水　15分/回　3日に１回</t>
  </si>
  <si>
    <t>温度管理</t>
  </si>
  <si>
    <t>アルバリン粒剤</t>
  </si>
  <si>
    <t>ハチハチ乳剤</t>
  </si>
  <si>
    <t>コンテナ</t>
  </si>
  <si>
    <t>白黒ダブルマルチ(巾135)</t>
  </si>
  <si>
    <t>麗夏種子</t>
  </si>
  <si>
    <t>ＢＭようりん（２０ｋｇ）</t>
  </si>
  <si>
    <t>式</t>
    <rPh sb="0" eb="1">
      <t>シキ</t>
    </rPh>
    <phoneticPr fontId="14"/>
  </si>
  <si>
    <t>合計
(円/10a)</t>
    <rPh sb="0" eb="2">
      <t>ゴウケイ</t>
    </rPh>
    <phoneticPr fontId="14"/>
  </si>
  <si>
    <t>販売量(kg)</t>
    <phoneticPr fontId="14"/>
  </si>
  <si>
    <t>単価(円)</t>
    <rPh sb="0" eb="2">
      <t>タンカ</t>
    </rPh>
    <rPh sb="3" eb="4">
      <t>エン</t>
    </rPh>
    <phoneticPr fontId="14"/>
  </si>
  <si>
    <t>②償却資産　施設　年償却費（10a当り）</t>
    <rPh sb="1" eb="3">
      <t>ショウキャク</t>
    </rPh>
    <rPh sb="3" eb="5">
      <t>シサン</t>
    </rPh>
    <rPh sb="6" eb="8">
      <t>シセツ</t>
    </rPh>
    <rPh sb="9" eb="10">
      <t>ネン</t>
    </rPh>
    <rPh sb="10" eb="12">
      <t>ショウキャク</t>
    </rPh>
    <rPh sb="12" eb="13">
      <t>ヒ</t>
    </rPh>
    <rPh sb="17" eb="18">
      <t>ア</t>
    </rPh>
    <phoneticPr fontId="14"/>
  </si>
  <si>
    <t>②償却資産　機械　年償却費（10a当り）</t>
    <rPh sb="1" eb="3">
      <t>ショウキャク</t>
    </rPh>
    <rPh sb="3" eb="5">
      <t>シサン</t>
    </rPh>
    <rPh sb="6" eb="8">
      <t>キカイ</t>
    </rPh>
    <rPh sb="9" eb="10">
      <t>ネン</t>
    </rPh>
    <rPh sb="10" eb="12">
      <t>ショウキャク</t>
    </rPh>
    <rPh sb="12" eb="13">
      <t>ヒ</t>
    </rPh>
    <rPh sb="17" eb="18">
      <t>ア</t>
    </rPh>
    <phoneticPr fontId="14"/>
  </si>
  <si>
    <t>②償却資産　大植物　年償却費（10a当り）</t>
    <rPh sb="1" eb="3">
      <t>ショウキャク</t>
    </rPh>
    <rPh sb="3" eb="5">
      <t>シサン</t>
    </rPh>
    <rPh sb="6" eb="7">
      <t>ダイ</t>
    </rPh>
    <rPh sb="7" eb="9">
      <t>ショクブツ</t>
    </rPh>
    <rPh sb="10" eb="11">
      <t>ネン</t>
    </rPh>
    <rPh sb="11" eb="13">
      <t>ショウキャク</t>
    </rPh>
    <rPh sb="13" eb="14">
      <t>ヒ</t>
    </rPh>
    <rPh sb="18" eb="19">
      <t>ア</t>
    </rPh>
    <phoneticPr fontId="14"/>
  </si>
  <si>
    <t>機械利用
時間</t>
    <phoneticPr fontId="14"/>
  </si>
  <si>
    <t>補助労働</t>
    <rPh sb="0" eb="2">
      <t>ホジョ</t>
    </rPh>
    <rPh sb="2" eb="4">
      <t>ロウドウ</t>
    </rPh>
    <phoneticPr fontId="14"/>
  </si>
  <si>
    <t>種類</t>
    <rPh sb="0" eb="2">
      <t>シュルイ</t>
    </rPh>
    <phoneticPr fontId="14"/>
  </si>
  <si>
    <t>単位</t>
    <rPh sb="0" eb="2">
      <t>タンイ</t>
    </rPh>
    <phoneticPr fontId="14"/>
  </si>
  <si>
    <t>植付本数</t>
    <rPh sb="0" eb="2">
      <t>ウエツケ</t>
    </rPh>
    <rPh sb="2" eb="4">
      <t>ホンスウ</t>
    </rPh>
    <phoneticPr fontId="14"/>
  </si>
  <si>
    <t>本</t>
    <rPh sb="0" eb="1">
      <t>ホン</t>
    </rPh>
    <phoneticPr fontId="14"/>
  </si>
  <si>
    <t>播種量</t>
    <rPh sb="0" eb="2">
      <t>ハシュ</t>
    </rPh>
    <rPh sb="2" eb="3">
      <t>リョウ</t>
    </rPh>
    <phoneticPr fontId="14"/>
  </si>
  <si>
    <t>kg</t>
    <phoneticPr fontId="14"/>
  </si>
  <si>
    <t>飼養頭数</t>
    <rPh sb="0" eb="2">
      <t>シヨウ</t>
    </rPh>
    <rPh sb="2" eb="4">
      <t>トウスウ</t>
    </rPh>
    <phoneticPr fontId="14"/>
  </si>
  <si>
    <t>頭</t>
    <rPh sb="0" eb="1">
      <t>トウ</t>
    </rPh>
    <phoneticPr fontId="14"/>
  </si>
  <si>
    <t>労働費</t>
    <rPh sb="0" eb="3">
      <t>ロウドウヒ</t>
    </rPh>
    <phoneticPr fontId="14"/>
  </si>
  <si>
    <t>基幹労働</t>
    <rPh sb="0" eb="2">
      <t>キカン</t>
    </rPh>
    <rPh sb="2" eb="4">
      <t>ロウドウ</t>
    </rPh>
    <phoneticPr fontId="31"/>
  </si>
  <si>
    <t>自家労賃を含む</t>
    <rPh sb="0" eb="2">
      <t>ジカ</t>
    </rPh>
    <rPh sb="2" eb="4">
      <t>ロウチン</t>
    </rPh>
    <rPh sb="5" eb="6">
      <t>フク</t>
    </rPh>
    <phoneticPr fontId="14"/>
  </si>
  <si>
    <t>補助労働</t>
    <rPh sb="0" eb="2">
      <t>ホジョ</t>
    </rPh>
    <rPh sb="2" eb="4">
      <t>ロウドウ</t>
    </rPh>
    <phoneticPr fontId="31"/>
  </si>
  <si>
    <t>10a当たり</t>
    <rPh sb="3" eb="4">
      <t>ア</t>
    </rPh>
    <phoneticPr fontId="14"/>
  </si>
  <si>
    <t>商品化率</t>
    <rPh sb="0" eb="3">
      <t>ショウヒンカ</t>
    </rPh>
    <rPh sb="3" eb="4">
      <t>リツ</t>
    </rPh>
    <phoneticPr fontId="14"/>
  </si>
  <si>
    <t>補助労働(ア)</t>
    <rPh sb="0" eb="2">
      <t>ホジョ</t>
    </rPh>
    <rPh sb="2" eb="4">
      <t>ロウドウ</t>
    </rPh>
    <phoneticPr fontId="14"/>
  </si>
  <si>
    <t>備考</t>
    <rPh sb="0" eb="2">
      <t>ビコウ</t>
    </rPh>
    <phoneticPr fontId="14"/>
  </si>
  <si>
    <t>元肥</t>
    <rPh sb="0" eb="2">
      <t>モトヒ</t>
    </rPh>
    <phoneticPr fontId="14"/>
  </si>
  <si>
    <t>ロング肥料</t>
    <rPh sb="3" eb="5">
      <t>ヒリョウ</t>
    </rPh>
    <phoneticPr fontId="14"/>
  </si>
  <si>
    <t>軽トラック</t>
    <rPh sb="0" eb="1">
      <t>ケイ</t>
    </rPh>
    <phoneticPr fontId="14"/>
  </si>
  <si>
    <t>誘引紐、つりっこ</t>
    <rPh sb="0" eb="2">
      <t>ユウイン</t>
    </rPh>
    <rPh sb="2" eb="3">
      <t>ヒモ</t>
    </rPh>
    <phoneticPr fontId="14"/>
  </si>
  <si>
    <t>定植</t>
    <phoneticPr fontId="14"/>
  </si>
  <si>
    <t>苗</t>
    <rPh sb="0" eb="1">
      <t>ナエ</t>
    </rPh>
    <phoneticPr fontId="14"/>
  </si>
  <si>
    <t>コンテナ</t>
    <phoneticPr fontId="14"/>
  </si>
  <si>
    <t>ハウス</t>
    <phoneticPr fontId="14"/>
  </si>
  <si>
    <t>灌水装置、灌水ﾁｭｰﾌﾞ、マルチ、誘引紐、つりっこ</t>
    <phoneticPr fontId="14"/>
  </si>
  <si>
    <t>軽自動車税</t>
    <rPh sb="0" eb="4">
      <t>ケイジドウシャ</t>
    </rPh>
    <rPh sb="4" eb="5">
      <t>ゼイ</t>
    </rPh>
    <phoneticPr fontId="14"/>
  </si>
  <si>
    <t>軽トラック</t>
    <rPh sb="0" eb="1">
      <t>ケイ</t>
    </rPh>
    <phoneticPr fontId="14"/>
  </si>
  <si>
    <t>固定資産税</t>
    <rPh sb="0" eb="2">
      <t>コテイ</t>
    </rPh>
    <rPh sb="2" eb="5">
      <t>シサンゼイ</t>
    </rPh>
    <phoneticPr fontId="14"/>
  </si>
  <si>
    <t>共済掛金</t>
    <rPh sb="0" eb="2">
      <t>キョウサイ</t>
    </rPh>
    <rPh sb="2" eb="3">
      <t>カ</t>
    </rPh>
    <rPh sb="3" eb="4">
      <t>キン</t>
    </rPh>
    <phoneticPr fontId="14"/>
  </si>
  <si>
    <t>保険料</t>
    <rPh sb="0" eb="3">
      <t>ホケンリョウ</t>
    </rPh>
    <phoneticPr fontId="14"/>
  </si>
  <si>
    <t>鋏、コンテナ</t>
    <rPh sb="0" eb="1">
      <t>ハサミ</t>
    </rPh>
    <phoneticPr fontId="14"/>
  </si>
  <si>
    <t>ハウス10a</t>
    <phoneticPr fontId="14"/>
  </si>
  <si>
    <t>単価：産地平均（H26.27）</t>
    <rPh sb="0" eb="2">
      <t>タンカ</t>
    </rPh>
    <rPh sb="3" eb="5">
      <t>サンチ</t>
    </rPh>
    <rPh sb="5" eb="7">
      <t>ヘイキン</t>
    </rPh>
    <phoneticPr fontId="14"/>
  </si>
  <si>
    <t>隔離栽培「ゆめ果菜恵」一式</t>
    <rPh sb="0" eb="2">
      <t>カクリ</t>
    </rPh>
    <rPh sb="2" eb="4">
      <t>サイバイ</t>
    </rPh>
    <rPh sb="7" eb="8">
      <t>カ</t>
    </rPh>
    <rPh sb="8" eb="9">
      <t>ナ</t>
    </rPh>
    <rPh sb="9" eb="10">
      <t>エ</t>
    </rPh>
    <rPh sb="11" eb="13">
      <t>イッシキ</t>
    </rPh>
    <phoneticPr fontId="14"/>
  </si>
  <si>
    <t>H27年平均価格　石油情報センターより</t>
    <rPh sb="3" eb="4">
      <t>ネン</t>
    </rPh>
    <rPh sb="4" eb="6">
      <t>ヘイキン</t>
    </rPh>
    <rPh sb="6" eb="8">
      <t>カカク</t>
    </rPh>
    <rPh sb="9" eb="11">
      <t>セキユ</t>
    </rPh>
    <rPh sb="11" eb="13">
      <t>ジョウホウ</t>
    </rPh>
    <phoneticPr fontId="14"/>
  </si>
  <si>
    <t>ハウス開閉</t>
    <rPh sb="3" eb="5">
      <t>カイヘイ</t>
    </rPh>
    <phoneticPr fontId="14"/>
  </si>
  <si>
    <t>記帳</t>
    <rPh sb="0" eb="2">
      <t>キチョウ</t>
    </rPh>
    <phoneticPr fontId="14"/>
  </si>
  <si>
    <t>交配</t>
    <rPh sb="0" eb="2">
      <t>コウハイ</t>
    </rPh>
    <phoneticPr fontId="14"/>
  </si>
  <si>
    <t>タイマー灌水設置</t>
    <rPh sb="4" eb="6">
      <t>カンスイ</t>
    </rPh>
    <rPh sb="6" eb="8">
      <t>セッチ</t>
    </rPh>
    <phoneticPr fontId="14"/>
  </si>
  <si>
    <t>葉面散布（カルシウム剤）</t>
    <rPh sb="0" eb="4">
      <t>ヨウメンサンプ</t>
    </rPh>
    <rPh sb="10" eb="11">
      <t>ザイ</t>
    </rPh>
    <phoneticPr fontId="14"/>
  </si>
  <si>
    <t>ﾛﾝｸﾞ肥料</t>
    <rPh sb="4" eb="6">
      <t>ヒリョウ</t>
    </rPh>
    <phoneticPr fontId="14"/>
  </si>
  <si>
    <t>1作目　置植え</t>
    <rPh sb="1" eb="2">
      <t>サク</t>
    </rPh>
    <rPh sb="2" eb="3">
      <t>メ</t>
    </rPh>
    <rPh sb="4" eb="5">
      <t>オ</t>
    </rPh>
    <rPh sb="5" eb="6">
      <t>ウ</t>
    </rPh>
    <phoneticPr fontId="14"/>
  </si>
  <si>
    <t>土入れ</t>
    <phoneticPr fontId="14"/>
  </si>
  <si>
    <t>点滴チューブ、灌水設置、灌水</t>
    <rPh sb="0" eb="2">
      <t>テンテキ</t>
    </rPh>
    <rPh sb="7" eb="9">
      <t>カンスイ</t>
    </rPh>
    <rPh sb="9" eb="11">
      <t>セッチ</t>
    </rPh>
    <rPh sb="12" eb="14">
      <t>カンスイ</t>
    </rPh>
    <phoneticPr fontId="14"/>
  </si>
  <si>
    <t>内張り、遮光メンテナンス</t>
    <rPh sb="0" eb="2">
      <t>ウチバ</t>
    </rPh>
    <phoneticPr fontId="14"/>
  </si>
  <si>
    <t>葉面散布（ｶﾙｼｳﾑ剤）</t>
    <rPh sb="0" eb="4">
      <t>ヨウメンサンプ</t>
    </rPh>
    <rPh sb="10" eb="11">
      <t>ザイ</t>
    </rPh>
    <phoneticPr fontId="14"/>
  </si>
  <si>
    <t>記帳</t>
    <rPh sb="0" eb="2">
      <t>キチョウ</t>
    </rPh>
    <phoneticPr fontId="14"/>
  </si>
  <si>
    <t>研修</t>
    <rPh sb="0" eb="2">
      <t>ケンシュウ</t>
    </rPh>
    <phoneticPr fontId="14"/>
  </si>
  <si>
    <t>鉢広げ</t>
    <phoneticPr fontId="14"/>
  </si>
  <si>
    <t>ポット土入れ、鉢上げ</t>
    <rPh sb="3" eb="4">
      <t>ツチ</t>
    </rPh>
    <rPh sb="4" eb="5">
      <t>イ</t>
    </rPh>
    <phoneticPr fontId="14"/>
  </si>
  <si>
    <t>2作目　播種　</t>
    <rPh sb="1" eb="2">
      <t>サク</t>
    </rPh>
    <rPh sb="2" eb="3">
      <t>メ</t>
    </rPh>
    <phoneticPr fontId="14"/>
  </si>
  <si>
    <t>１作目　播種</t>
    <rPh sb="4" eb="6">
      <t>ハシュ</t>
    </rPh>
    <phoneticPr fontId="14"/>
  </si>
  <si>
    <t>潅水　15分/回　2日に１回</t>
    <phoneticPr fontId="14"/>
  </si>
  <si>
    <t>温度管理</t>
    <phoneticPr fontId="14"/>
  </si>
  <si>
    <t>1作目定植時株元処理</t>
    <phoneticPr fontId="14"/>
  </si>
  <si>
    <t>誘引ひも取り付け等</t>
    <phoneticPr fontId="14"/>
  </si>
  <si>
    <t>２作目　置植え</t>
    <rPh sb="1" eb="2">
      <t>サク</t>
    </rPh>
    <rPh sb="2" eb="3">
      <t>メ</t>
    </rPh>
    <rPh sb="4" eb="5">
      <t>オ</t>
    </rPh>
    <rPh sb="5" eb="6">
      <t>ウ</t>
    </rPh>
    <phoneticPr fontId="14"/>
  </si>
  <si>
    <t>ハウスメンテナンス、培地投入、灌水、マルチ</t>
    <rPh sb="12" eb="14">
      <t>トウニュウ</t>
    </rPh>
    <phoneticPr fontId="14"/>
  </si>
  <si>
    <t>ホルモン剤</t>
    <rPh sb="4" eb="5">
      <t>ザイ</t>
    </rPh>
    <phoneticPr fontId="14"/>
  </si>
  <si>
    <t>マリンカル</t>
    <phoneticPr fontId="14"/>
  </si>
  <si>
    <t>スーパーエコロング413・１００日タイプ</t>
    <phoneticPr fontId="14"/>
  </si>
  <si>
    <t>IB化成</t>
    <rPh sb="2" eb="4">
      <t>カセイ</t>
    </rPh>
    <phoneticPr fontId="14"/>
  </si>
  <si>
    <t>エコロング413・７０日タイプ</t>
    <phoneticPr fontId="14"/>
  </si>
  <si>
    <t>プリグロックスL</t>
    <phoneticPr fontId="14"/>
  </si>
  <si>
    <t>サフオイル乳剤</t>
    <rPh sb="5" eb="7">
      <t>ニュウザイ</t>
    </rPh>
    <phoneticPr fontId="14"/>
  </si>
  <si>
    <t>カリグリーン</t>
    <phoneticPr fontId="14"/>
  </si>
  <si>
    <t>セイビアーフロアブル</t>
    <phoneticPr fontId="14"/>
  </si>
  <si>
    <t>カンタスドライフロアブル</t>
    <phoneticPr fontId="14"/>
  </si>
  <si>
    <t>インプレッション水和剤</t>
    <rPh sb="8" eb="11">
      <t>スイワザイ</t>
    </rPh>
    <phoneticPr fontId="14"/>
  </si>
  <si>
    <t>コロマイト乳剤</t>
    <rPh sb="5" eb="7">
      <t>ニュウザイ</t>
    </rPh>
    <phoneticPr fontId="14"/>
  </si>
  <si>
    <t>エコピタ液剤</t>
    <rPh sb="4" eb="6">
      <t>エキザイ</t>
    </rPh>
    <phoneticPr fontId="14"/>
  </si>
  <si>
    <t>つり下げ誘引</t>
    <rPh sb="2" eb="3">
      <t>サ</t>
    </rPh>
    <rPh sb="4" eb="6">
      <t>ユウイン</t>
    </rPh>
    <phoneticPr fontId="14"/>
  </si>
  <si>
    <t>50㎡</t>
    <phoneticPr fontId="14"/>
  </si>
  <si>
    <t>育苗棚、タイマー、電磁弁、散水チューブ</t>
    <rPh sb="0" eb="2">
      <t>イクビョウ</t>
    </rPh>
    <rPh sb="2" eb="3">
      <t>タナ</t>
    </rPh>
    <rPh sb="9" eb="12">
      <t>デンジベン</t>
    </rPh>
    <rPh sb="13" eb="15">
      <t>サンスイ</t>
    </rPh>
    <phoneticPr fontId="14"/>
  </si>
  <si>
    <t>育苗ハウス　255㎡</t>
    <rPh sb="0" eb="2">
      <t>イクビョウ</t>
    </rPh>
    <phoneticPr fontId="14"/>
  </si>
  <si>
    <t>育苗自動灌水一式</t>
    <rPh sb="0" eb="2">
      <t>イクビョウ</t>
    </rPh>
    <rPh sb="2" eb="4">
      <t>ジドウ</t>
    </rPh>
    <rPh sb="4" eb="6">
      <t>カンスイ</t>
    </rPh>
    <rPh sb="6" eb="8">
      <t>イッシキ</t>
    </rPh>
    <phoneticPr fontId="14"/>
  </si>
  <si>
    <t>農業薬剤費</t>
    <rPh sb="0" eb="2">
      <t>ノウギョウ</t>
    </rPh>
    <rPh sb="2" eb="5">
      <t>ヤクザイヒ</t>
    </rPh>
    <phoneticPr fontId="14"/>
  </si>
  <si>
    <t>トマトトーン</t>
    <phoneticPr fontId="14"/>
  </si>
  <si>
    <t>誘引紐</t>
    <rPh sb="2" eb="3">
      <t>ヒモ</t>
    </rPh>
    <phoneticPr fontId="14"/>
  </si>
  <si>
    <t>防除用タンク（500ℓ）</t>
    <phoneticPr fontId="14"/>
  </si>
  <si>
    <t>防除用ノズル等</t>
    <rPh sb="0" eb="3">
      <t>ボウジョヨウ</t>
    </rPh>
    <rPh sb="6" eb="7">
      <t>トウ</t>
    </rPh>
    <phoneticPr fontId="14"/>
  </si>
  <si>
    <t>4系統、1液仕様</t>
    <rPh sb="1" eb="3">
      <t>ケイトウ</t>
    </rPh>
    <rPh sb="5" eb="6">
      <t>エキ</t>
    </rPh>
    <rPh sb="6" eb="8">
      <t>シヨウ</t>
    </rPh>
    <phoneticPr fontId="14"/>
  </si>
  <si>
    <t>ラック574本、排水資材、培地、防草シート</t>
    <rPh sb="6" eb="7">
      <t>ホン</t>
    </rPh>
    <rPh sb="8" eb="10">
      <t>ハイスイ</t>
    </rPh>
    <rPh sb="10" eb="12">
      <t>シザイ</t>
    </rPh>
    <rPh sb="13" eb="15">
      <t>バイチ</t>
    </rPh>
    <rPh sb="16" eb="18">
      <t>ボウソウ</t>
    </rPh>
    <phoneticPr fontId="14"/>
  </si>
  <si>
    <t>工事費除く</t>
    <rPh sb="0" eb="3">
      <t>コウジヒ</t>
    </rPh>
    <rPh sb="3" eb="4">
      <t>ノゾ</t>
    </rPh>
    <phoneticPr fontId="14"/>
  </si>
  <si>
    <t>潅水装置一式</t>
    <rPh sb="4" eb="6">
      <t>イッシキ</t>
    </rPh>
    <phoneticPr fontId="14"/>
  </si>
  <si>
    <t>点滴チューブ（10cmﾋﾟｯﾁ）1000ｍ</t>
    <rPh sb="0" eb="2">
      <t>テンテキ</t>
    </rPh>
    <phoneticPr fontId="14"/>
  </si>
  <si>
    <t>売上の2.5%</t>
    <phoneticPr fontId="14"/>
  </si>
  <si>
    <t>売上の1.0%</t>
    <phoneticPr fontId="14"/>
  </si>
  <si>
    <t>売上の8.5%</t>
    <phoneticPr fontId="14"/>
  </si>
  <si>
    <t>販売量15t/10a</t>
    <rPh sb="0" eb="2">
      <t>ハンバイ</t>
    </rPh>
    <rPh sb="2" eb="3">
      <t>リョウ</t>
    </rPh>
    <phoneticPr fontId="14"/>
  </si>
  <si>
    <t>育苗自動灌水散水チューブ</t>
    <rPh sb="0" eb="2">
      <t>イクビョウ</t>
    </rPh>
    <rPh sb="2" eb="4">
      <t>ジドウ</t>
    </rPh>
    <rPh sb="4" eb="6">
      <t>カンスイ</t>
    </rPh>
    <rPh sb="6" eb="8">
      <t>サンスイ</t>
    </rPh>
    <phoneticPr fontId="14"/>
  </si>
  <si>
    <t>ホリバー（黄）</t>
    <rPh sb="5" eb="6">
      <t>キ</t>
    </rPh>
    <phoneticPr fontId="14"/>
  </si>
  <si>
    <t>ホルモン処理</t>
    <rPh sb="4" eb="6">
      <t>ショリ</t>
    </rPh>
    <phoneticPr fontId="14"/>
  </si>
  <si>
    <t>１作目：6.5t/10a　　２作目：8.5t/10a　　　　　出荷15t/10a</t>
    <rPh sb="1" eb="2">
      <t>サク</t>
    </rPh>
    <rPh sb="2" eb="3">
      <t>メ</t>
    </rPh>
    <rPh sb="15" eb="16">
      <t>サク</t>
    </rPh>
    <rPh sb="16" eb="17">
      <t>メ</t>
    </rPh>
    <rPh sb="31" eb="33">
      <t>シュッカ</t>
    </rPh>
    <phoneticPr fontId="14"/>
  </si>
  <si>
    <t>1作目4/下　　　　　　2作目7/下</t>
    <rPh sb="1" eb="2">
      <t>サク</t>
    </rPh>
    <rPh sb="2" eb="3">
      <t>メ</t>
    </rPh>
    <rPh sb="5" eb="6">
      <t>ゲ</t>
    </rPh>
    <rPh sb="13" eb="14">
      <t>サク</t>
    </rPh>
    <rPh sb="14" eb="15">
      <t>メ</t>
    </rPh>
    <rPh sb="17" eb="18">
      <t>ゲ</t>
    </rPh>
    <phoneticPr fontId="14"/>
  </si>
  <si>
    <t>1作目7/下　　　　　2作目11/下</t>
    <rPh sb="1" eb="2">
      <t>サク</t>
    </rPh>
    <rPh sb="2" eb="3">
      <t>メ</t>
    </rPh>
    <rPh sb="5" eb="6">
      <t>ゲ</t>
    </rPh>
    <rPh sb="12" eb="13">
      <t>サク</t>
    </rPh>
    <rPh sb="13" eb="14">
      <t>メ</t>
    </rPh>
    <rPh sb="17" eb="18">
      <t>ゲ</t>
    </rPh>
    <phoneticPr fontId="14"/>
  </si>
  <si>
    <t>温度管理</t>
    <phoneticPr fontId="14"/>
  </si>
  <si>
    <t>1作目　苗配り　</t>
    <rPh sb="1" eb="2">
      <t>サク</t>
    </rPh>
    <rPh sb="2" eb="3">
      <t>メ</t>
    </rPh>
    <rPh sb="4" eb="5">
      <t>ナエ</t>
    </rPh>
    <rPh sb="5" eb="6">
      <t>クバ</t>
    </rPh>
    <phoneticPr fontId="14"/>
  </si>
  <si>
    <t>２作目　苗配り　</t>
    <rPh sb="1" eb="2">
      <t>サク</t>
    </rPh>
    <rPh sb="2" eb="3">
      <t>メ</t>
    </rPh>
    <rPh sb="4" eb="5">
      <t>ナエ</t>
    </rPh>
    <rPh sb="5" eb="6">
      <t>クバ</t>
    </rPh>
    <phoneticPr fontId="14"/>
  </si>
  <si>
    <t>苗配り、定植、灌水　　　　　　　　　　　　　　　　　5000本/10a　置植え定植</t>
    <rPh sb="0" eb="1">
      <t>ナエ</t>
    </rPh>
    <rPh sb="1" eb="2">
      <t>クバ</t>
    </rPh>
    <rPh sb="4" eb="6">
      <t>テイショク</t>
    </rPh>
    <rPh sb="7" eb="9">
      <t>カンスイ</t>
    </rPh>
    <rPh sb="30" eb="31">
      <t>ホン</t>
    </rPh>
    <rPh sb="36" eb="37">
      <t>オ</t>
    </rPh>
    <rPh sb="37" eb="38">
      <t>ウ</t>
    </rPh>
    <rPh sb="39" eb="41">
      <t>テイショク</t>
    </rPh>
    <phoneticPr fontId="14"/>
  </si>
  <si>
    <t>１作目：３段収穫　　２作目：４段収穫　　　　　　収穫18.5t/10a</t>
    <rPh sb="1" eb="2">
      <t>サク</t>
    </rPh>
    <rPh sb="2" eb="3">
      <t>メ</t>
    </rPh>
    <rPh sb="5" eb="6">
      <t>ダン</t>
    </rPh>
    <rPh sb="6" eb="8">
      <t>シュウカク</t>
    </rPh>
    <rPh sb="11" eb="12">
      <t>サク</t>
    </rPh>
    <rPh sb="12" eb="13">
      <t>メ</t>
    </rPh>
    <rPh sb="15" eb="16">
      <t>ダン</t>
    </rPh>
    <rPh sb="16" eb="18">
      <t>シュウカク</t>
    </rPh>
    <rPh sb="24" eb="26">
      <t>シュウカク</t>
    </rPh>
    <phoneticPr fontId="14"/>
  </si>
  <si>
    <t>山口県最低賃金（H28.10.1）</t>
    <phoneticPr fontId="14"/>
  </si>
  <si>
    <t>通年単価：産地平均（H23～27）</t>
    <rPh sb="0" eb="2">
      <t>ツウネン</t>
    </rPh>
    <rPh sb="2" eb="4">
      <t>タンカ</t>
    </rPh>
    <rPh sb="5" eb="7">
      <t>サンチ</t>
    </rPh>
    <rPh sb="7" eb="9">
      <t>ヘイキン</t>
    </rPh>
    <phoneticPr fontId="14"/>
  </si>
  <si>
    <t>式</t>
    <phoneticPr fontId="14"/>
  </si>
  <si>
    <t>ハウス等</t>
  </si>
  <si>
    <t>混合油</t>
    <rPh sb="0" eb="2">
      <t>コンゴウ</t>
    </rPh>
    <rPh sb="2" eb="3">
      <t>ユ</t>
    </rPh>
    <phoneticPr fontId="14"/>
  </si>
  <si>
    <t>オイル(自動計算)</t>
    <rPh sb="4" eb="6">
      <t>ジドウ</t>
    </rPh>
    <rPh sb="6" eb="8">
      <t>ケイサン</t>
    </rPh>
    <phoneticPr fontId="14"/>
  </si>
  <si>
    <t>その他燃料</t>
  </si>
  <si>
    <t>■</t>
    <phoneticPr fontId="14"/>
  </si>
  <si>
    <t>播種、灌水、鉢上げ、保温、換気　　　　　　　　自動灌水(鉢上げ後)</t>
    <rPh sb="0" eb="2">
      <t>ハシュ</t>
    </rPh>
    <rPh sb="3" eb="5">
      <t>カンスイ</t>
    </rPh>
    <rPh sb="6" eb="7">
      <t>ハチ</t>
    </rPh>
    <rPh sb="7" eb="8">
      <t>ア</t>
    </rPh>
    <rPh sb="10" eb="12">
      <t>ホオン</t>
    </rPh>
    <rPh sb="13" eb="15">
      <t>カンキ</t>
    </rPh>
    <rPh sb="23" eb="25">
      <t>ジドウ</t>
    </rPh>
    <rPh sb="25" eb="27">
      <t>カンスイ</t>
    </rPh>
    <rPh sb="28" eb="29">
      <t>ハチ</t>
    </rPh>
    <rPh sb="29" eb="30">
      <t>ア</t>
    </rPh>
    <rPh sb="31" eb="32">
      <t>ゴ</t>
    </rPh>
    <phoneticPr fontId="14"/>
  </si>
  <si>
    <t>育苗ハウス、種子、育苗トレイ、育苗培土、ポット、肥料、ベンチ、自動灌水（ﾀｲﾏｰ、電磁弁、散水チューブ）　</t>
    <rPh sb="0" eb="2">
      <t>イクビョウ</t>
    </rPh>
    <rPh sb="6" eb="8">
      <t>シュシ</t>
    </rPh>
    <rPh sb="9" eb="11">
      <t>イクビョウ</t>
    </rPh>
    <rPh sb="15" eb="17">
      <t>イクビョウ</t>
    </rPh>
    <rPh sb="17" eb="18">
      <t>バイ</t>
    </rPh>
    <rPh sb="18" eb="19">
      <t>ツチ</t>
    </rPh>
    <rPh sb="24" eb="26">
      <t>ヒリョウ</t>
    </rPh>
    <phoneticPr fontId="14"/>
  </si>
  <si>
    <t>夏秋トマト_低段密植年２作</t>
    <rPh sb="0" eb="1">
      <t>ナツ</t>
    </rPh>
    <rPh sb="1" eb="2">
      <t>アキ</t>
    </rPh>
    <rPh sb="6" eb="7">
      <t>テイ</t>
    </rPh>
    <rPh sb="7" eb="8">
      <t>ダン</t>
    </rPh>
    <rPh sb="8" eb="9">
      <t>ミツ</t>
    </rPh>
    <rPh sb="9" eb="10">
      <t>ショク</t>
    </rPh>
    <rPh sb="10" eb="11">
      <t>ネン</t>
    </rPh>
    <rPh sb="12" eb="13">
      <t>サク</t>
    </rPh>
    <phoneticPr fontId="14"/>
  </si>
  <si>
    <t>1作目1/下-4/中
2作目5/上-7/中</t>
    <rPh sb="1" eb="2">
      <t>サク</t>
    </rPh>
    <rPh sb="2" eb="3">
      <t>メ</t>
    </rPh>
    <rPh sb="5" eb="6">
      <t>ゲ</t>
    </rPh>
    <rPh sb="9" eb="10">
      <t>チュウ</t>
    </rPh>
    <rPh sb="12" eb="13">
      <t>サク</t>
    </rPh>
    <rPh sb="13" eb="14">
      <t>メ</t>
    </rPh>
    <rPh sb="16" eb="17">
      <t>ジョウ</t>
    </rPh>
    <rPh sb="20" eb="21">
      <t>チュウ</t>
    </rPh>
    <phoneticPr fontId="14"/>
  </si>
  <si>
    <t>1作目3/中-4/中　　　　2作目7/下</t>
    <rPh sb="1" eb="2">
      <t>サク</t>
    </rPh>
    <rPh sb="2" eb="3">
      <t>メ</t>
    </rPh>
    <rPh sb="5" eb="6">
      <t>チュウ</t>
    </rPh>
    <rPh sb="9" eb="10">
      <t>チュウ</t>
    </rPh>
    <rPh sb="15" eb="16">
      <t>サク</t>
    </rPh>
    <rPh sb="16" eb="17">
      <t>メ</t>
    </rPh>
    <rPh sb="19" eb="20">
      <t>ゲ</t>
    </rPh>
    <phoneticPr fontId="14"/>
  </si>
  <si>
    <t>1作目5/上-5/下　　　　　　　　　　　　　　　　　2作目8/上-9/中</t>
    <rPh sb="1" eb="2">
      <t>サク</t>
    </rPh>
    <rPh sb="2" eb="3">
      <t>メ</t>
    </rPh>
    <rPh sb="5" eb="6">
      <t>ジョウ</t>
    </rPh>
    <rPh sb="9" eb="10">
      <t>ゲ</t>
    </rPh>
    <rPh sb="28" eb="29">
      <t>サク</t>
    </rPh>
    <rPh sb="29" eb="30">
      <t>メ</t>
    </rPh>
    <rPh sb="32" eb="33">
      <t>ジョウ</t>
    </rPh>
    <rPh sb="36" eb="37">
      <t>チュウ</t>
    </rPh>
    <phoneticPr fontId="14"/>
  </si>
  <si>
    <t>1作目4/下-6/上　　　　　　2作7/下-9/中</t>
    <rPh sb="1" eb="2">
      <t>サク</t>
    </rPh>
    <rPh sb="2" eb="3">
      <t>メ</t>
    </rPh>
    <rPh sb="5" eb="6">
      <t>ゲ</t>
    </rPh>
    <rPh sb="9" eb="10">
      <t>ジョウ</t>
    </rPh>
    <rPh sb="17" eb="18">
      <t>サク</t>
    </rPh>
    <rPh sb="20" eb="21">
      <t>ゲ</t>
    </rPh>
    <rPh sb="24" eb="25">
      <t>チュウ</t>
    </rPh>
    <phoneticPr fontId="14"/>
  </si>
  <si>
    <t>1作目5/上-6/上　　　　　　　　　　　　2作目8/上-9/中</t>
    <rPh sb="1" eb="2">
      <t>サク</t>
    </rPh>
    <rPh sb="2" eb="3">
      <t>メ</t>
    </rPh>
    <rPh sb="5" eb="6">
      <t>ジョウ</t>
    </rPh>
    <rPh sb="9" eb="10">
      <t>ジョウ</t>
    </rPh>
    <rPh sb="23" eb="24">
      <t>サク</t>
    </rPh>
    <rPh sb="24" eb="25">
      <t>メ</t>
    </rPh>
    <rPh sb="27" eb="28">
      <t>ジョウ</t>
    </rPh>
    <rPh sb="31" eb="32">
      <t>チュウ</t>
    </rPh>
    <phoneticPr fontId="14"/>
  </si>
  <si>
    <t>4/下-10/中</t>
    <rPh sb="2" eb="3">
      <t>ゲ</t>
    </rPh>
    <rPh sb="7" eb="8">
      <t>チュウ</t>
    </rPh>
    <phoneticPr fontId="14"/>
  </si>
  <si>
    <t>４/中-12/上</t>
    <rPh sb="2" eb="3">
      <t>チュウ</t>
    </rPh>
    <rPh sb="7" eb="8">
      <t>ジョウ</t>
    </rPh>
    <phoneticPr fontId="14"/>
  </si>
  <si>
    <t>■■</t>
    <phoneticPr fontId="14"/>
  </si>
  <si>
    <t>1作目6/中-7/下　　2作目9/上-11/下</t>
    <rPh sb="1" eb="2">
      <t>サク</t>
    </rPh>
    <rPh sb="2" eb="3">
      <t>メ</t>
    </rPh>
    <rPh sb="5" eb="6">
      <t>チュウ</t>
    </rPh>
    <rPh sb="9" eb="10">
      <t>ゲ</t>
    </rPh>
    <rPh sb="13" eb="14">
      <t>サク</t>
    </rPh>
    <rPh sb="14" eb="15">
      <t>メ</t>
    </rPh>
    <rPh sb="17" eb="18">
      <t>ジョウ</t>
    </rPh>
    <rPh sb="22" eb="23">
      <t>ゲ</t>
    </rPh>
    <phoneticPr fontId="14"/>
  </si>
  <si>
    <t>1作目6/中-7/中　　2作目9/上-11/上</t>
    <rPh sb="1" eb="2">
      <t>サク</t>
    </rPh>
    <rPh sb="2" eb="3">
      <t>メ</t>
    </rPh>
    <rPh sb="5" eb="6">
      <t>チュウ</t>
    </rPh>
    <rPh sb="9" eb="10">
      <t>チュウ</t>
    </rPh>
    <rPh sb="13" eb="14">
      <t>サク</t>
    </rPh>
    <rPh sb="14" eb="15">
      <t>メ</t>
    </rPh>
    <rPh sb="17" eb="18">
      <t>ジョウ</t>
    </rPh>
    <rPh sb="22" eb="23">
      <t>ジョウ</t>
    </rPh>
    <phoneticPr fontId="14"/>
  </si>
  <si>
    <t>……◎</t>
    <phoneticPr fontId="14"/>
  </si>
  <si>
    <t>麗夏等</t>
    <rPh sb="0" eb="1">
      <t>レイ</t>
    </rPh>
    <rPh sb="1" eb="2">
      <t>ナツ</t>
    </rPh>
    <rPh sb="2" eb="3">
      <t>ナド</t>
    </rPh>
    <phoneticPr fontId="14"/>
  </si>
  <si>
    <t>薬剤散布</t>
    <rPh sb="0" eb="2">
      <t>ヤクザイ</t>
    </rPh>
    <rPh sb="2" eb="4">
      <t>サンプ</t>
    </rPh>
    <phoneticPr fontId="14"/>
  </si>
  <si>
    <t>選荷場へ搬入するための庭先選荷</t>
    <rPh sb="0" eb="1">
      <t>セン</t>
    </rPh>
    <rPh sb="1" eb="2">
      <t>ニ</t>
    </rPh>
    <rPh sb="2" eb="3">
      <t>ジョウ</t>
    </rPh>
    <rPh sb="4" eb="6">
      <t>ハンニュウ</t>
    </rPh>
    <rPh sb="11" eb="13">
      <t>ニワサキ</t>
    </rPh>
    <rPh sb="13" eb="14">
      <t>セン</t>
    </rPh>
    <rPh sb="14" eb="15">
      <t>ニ</t>
    </rPh>
    <phoneticPr fontId="14"/>
  </si>
  <si>
    <t>出荷コンテナ</t>
    <rPh sb="0" eb="2">
      <t>シュッカ</t>
    </rPh>
    <phoneticPr fontId="14"/>
  </si>
  <si>
    <t>採果鋏、収穫かご、コンテナ</t>
    <rPh sb="0" eb="1">
      <t>サイ</t>
    </rPh>
    <rPh sb="1" eb="2">
      <t>カ</t>
    </rPh>
    <rPh sb="2" eb="3">
      <t>ハサミ</t>
    </rPh>
    <rPh sb="4" eb="6">
      <t>シュウカク</t>
    </rPh>
    <phoneticPr fontId="14"/>
  </si>
  <si>
    <t>防除機、殺菌剤、殺虫剤、生物農薬　　　　　除草剤</t>
    <rPh sb="21" eb="24">
      <t>ジョソウザイ</t>
    </rPh>
    <phoneticPr fontId="14"/>
  </si>
  <si>
    <t>後片付け</t>
    <rPh sb="0" eb="3">
      <t>アトカタヅ</t>
    </rPh>
    <phoneticPr fontId="14"/>
  </si>
  <si>
    <t>生産管理記帳、台風対策、研修等</t>
    <rPh sb="0" eb="2">
      <t>セイサン</t>
    </rPh>
    <rPh sb="2" eb="4">
      <t>カンリ</t>
    </rPh>
    <rPh sb="4" eb="6">
      <t>キチョウ</t>
    </rPh>
    <rPh sb="7" eb="9">
      <t>タイフウ</t>
    </rPh>
    <rPh sb="9" eb="11">
      <t>タイサク</t>
    </rPh>
    <rPh sb="12" eb="14">
      <t>ケンシュウ</t>
    </rPh>
    <rPh sb="14" eb="15">
      <t>ナド</t>
    </rPh>
    <phoneticPr fontId="14"/>
  </si>
  <si>
    <t>ハウス周辺の除草時散布</t>
    <rPh sb="3" eb="5">
      <t>シュウヘン</t>
    </rPh>
    <rPh sb="6" eb="8">
      <t>ジョソウ</t>
    </rPh>
    <rPh sb="8" eb="9">
      <t>ジ</t>
    </rPh>
    <rPh sb="9" eb="11">
      <t>サンプ</t>
    </rPh>
    <phoneticPr fontId="14"/>
  </si>
  <si>
    <t>ハウス周辺の除草剤散布</t>
    <rPh sb="3" eb="5">
      <t>シュウヘン</t>
    </rPh>
    <rPh sb="6" eb="9">
      <t>ジョソウザイ</t>
    </rPh>
    <rPh sb="9" eb="11">
      <t>サンプ</t>
    </rPh>
    <phoneticPr fontId="14"/>
  </si>
  <si>
    <t>循環扇</t>
    <rPh sb="0" eb="2">
      <t>ジュンカン</t>
    </rPh>
    <rPh sb="2" eb="3">
      <t>オウギ</t>
    </rPh>
    <phoneticPr fontId="14"/>
  </si>
  <si>
    <t>風速0.5ｍ/S、到達距離50ｍ</t>
    <rPh sb="0" eb="2">
      <t>フウソク</t>
    </rPh>
    <rPh sb="9" eb="11">
      <t>トウタツ</t>
    </rPh>
    <rPh sb="11" eb="13">
      <t>キョリ</t>
    </rPh>
    <phoneticPr fontId="14"/>
  </si>
  <si>
    <t>台</t>
    <rPh sb="0" eb="1">
      <t>ダイ</t>
    </rPh>
    <phoneticPr fontId="14"/>
  </si>
  <si>
    <t>簡易自動巻取セット動噴　5MPa</t>
    <rPh sb="0" eb="2">
      <t>カンイ</t>
    </rPh>
    <rPh sb="2" eb="4">
      <t>ジドウ</t>
    </rPh>
    <rPh sb="4" eb="6">
      <t>マキト</t>
    </rPh>
    <rPh sb="9" eb="11">
      <t>ドウフン</t>
    </rPh>
    <phoneticPr fontId="14"/>
  </si>
  <si>
    <t>被覆資材、工事費除く</t>
    <rPh sb="0" eb="2">
      <t>ヒフク</t>
    </rPh>
    <rPh sb="2" eb="4">
      <t>シザイ</t>
    </rPh>
    <rPh sb="5" eb="7">
      <t>コウジ</t>
    </rPh>
    <rPh sb="7" eb="8">
      <t>ヒ</t>
    </rPh>
    <rPh sb="8" eb="9">
      <t>ノゾ</t>
    </rPh>
    <phoneticPr fontId="14"/>
  </si>
  <si>
    <t>7ｹ月使用、工事費除く</t>
    <rPh sb="2" eb="3">
      <t>ゲツ</t>
    </rPh>
    <rPh sb="3" eb="5">
      <t>シヨウ</t>
    </rPh>
    <rPh sb="6" eb="9">
      <t>コウジヒ</t>
    </rPh>
    <rPh sb="9" eb="10">
      <t>ノゾ</t>
    </rPh>
    <phoneticPr fontId="14"/>
  </si>
  <si>
    <t>ハウス被覆資材</t>
    <phoneticPr fontId="14"/>
  </si>
  <si>
    <t>6.2ｍ×40ｍ 4棟  32</t>
    <rPh sb="10" eb="11">
      <t>トウ</t>
    </rPh>
    <phoneticPr fontId="14"/>
  </si>
  <si>
    <t>天井、サイド、裾、ドア、ネット</t>
    <rPh sb="0" eb="2">
      <t>テンジョウ</t>
    </rPh>
    <rPh sb="7" eb="8">
      <t>スソ</t>
    </rPh>
    <phoneticPr fontId="14"/>
  </si>
  <si>
    <t>4WD</t>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</si>
</sst>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176" formatCode="0.0&quot;ha&quot;"/>
    <numFmt numFmtId="177" formatCode="0.0&quot; a&quot;"/>
    <numFmt numFmtId="178" formatCode="0.0"/>
    <numFmt numFmtId="179" formatCode="#,##0.0;[Red]\-#,##0.0"/>
    <numFmt numFmtId="180" formatCode="0.0&quot;a当り&quot;"/>
    <numFmt numFmtId="181" formatCode="#,##0.0"/>
    <numFmt numFmtId="182" formatCode="#,##0\ ;\(#,##0\)"/>
    <numFmt numFmtId="183" formatCode="0&quot;月&quot;"/>
    <numFmt numFmtId="184" formatCode="\["/>
    <numFmt numFmtId="185" formatCode="#,##0_ ;[Red]\-#,##0\ "/>
    <numFmt numFmtId="186" formatCode="&quot;購入補充&quot;#,##0&quot;円&quot;"/>
    <numFmt numFmtId="187" formatCode="&quot;修繕費(負担取得価格の1%)&quot;#,##0&quot;円&quot;"/>
    <numFmt numFmtId="188" formatCode="&quot;所得率&quot;0.0%"/>
    <numFmt numFmtId="189" formatCode="0.0%"/>
    <numFmt numFmtId="190" formatCode="#,##0&quot;円&quot;"/>
    <numFmt numFmtId="191" formatCode="#,##0_ "/>
    <numFmt numFmtId="192" formatCode="0\ &quot;月&quot;"/>
    <numFmt numFmtId="193" formatCode="&quot; &quot;@&quot;旬&quot;"/>
    <numFmt numFmtId="194" formatCode="0.00\ &quot;ha&quot;"/>
    <numFmt numFmtId="195" formatCode="_ * #,##0.0_ ;_ * \-#,##0.0_ ;_ * &quot;&quot;??_ ;_ @_ "/>
    <numFmt numFmtId="196" formatCode="0.0_);[Red]\(0.0\)"/>
    <numFmt numFmtId="197" formatCode="#,##0;&quot;▲ &quot;#,##0"/>
    <numFmt numFmtId="198" formatCode="#,###"/>
    <numFmt numFmtId="199" formatCode="_ * #,##0.00_ ;_ * \-#,##0.00_ ;_ * &quot;&quot;??_ ;_ @_ "/>
    <numFmt numFmtId="200" formatCode="#,##0.0_);[Red]\(#,##0.0\)"/>
    <numFmt numFmtId="201" formatCode="#,###&quot;円&quot;"/>
    <numFmt numFmtId="202" formatCode="#"/>
    <numFmt numFmtId="203" formatCode="_ * #,##0.0_ ;[Red]_ * \-#,##0.0_ ;_ * &quot;&quot;??_ ;_ @_ "/>
  </numFmts>
  <fonts count="40">
    <font>
      <sz val="11"/>
      <name val="ＭＳ Ｐゴシック"/>
      <family val="3"/>
      <charset val="128"/>
    </font>
    <font>
      <sz val="11"/>
      <color theme="1"/>
      <name val="ＭＳ Ｐゴシック"/>
      <family val="2"/>
      <charset val="128"/>
      <scheme val="minor"/>
    </font>
    <font>
      <sz val="9.5"/>
      <name val="明朝"/>
      <family val="1"/>
      <charset val="128"/>
    </font>
    <font>
      <sz val="11"/>
      <color indexed="8"/>
      <name val="ＭＳ Ｐゴシック"/>
      <family val="3"/>
      <charset val="128"/>
    </font>
    <font>
      <sz val="10"/>
      <name val="ＭＳ 明朝"/>
      <family val="1"/>
      <charset val="128"/>
    </font>
    <font>
      <sz val="10"/>
      <name val="ＭＳ ゴシック"/>
      <family val="3"/>
      <charset val="128"/>
    </font>
    <font>
      <b/>
      <sz val="9"/>
      <color indexed="8"/>
      <name val="ＭＳ Ｐゴシック"/>
      <family val="3"/>
      <charset val="128"/>
    </font>
    <font>
      <sz val="9"/>
      <color indexed="8"/>
      <name val="ＭＳ Ｐゴシック"/>
      <family val="3"/>
      <charset val="128"/>
    </font>
    <font>
      <sz val="8"/>
      <name val="ＭＳ 明朝"/>
      <family val="1"/>
      <charset val="128"/>
    </font>
    <font>
      <sz val="9"/>
      <name val="ＭＳ Ｐゴシック"/>
      <family val="3"/>
      <charset val="128"/>
    </font>
    <font>
      <b/>
      <sz val="11"/>
      <name val="ＭＳ Ｐゴシック"/>
      <family val="3"/>
      <charset val="128"/>
    </font>
    <font>
      <sz val="9"/>
      <name val="ＭＳ 明朝"/>
      <family val="1"/>
      <charset val="128"/>
    </font>
    <font>
      <b/>
      <sz val="10"/>
      <name val="ＭＳ Ｐゴシック"/>
      <family val="3"/>
      <charset val="128"/>
    </font>
    <font>
      <b/>
      <sz val="10"/>
      <color indexed="12"/>
      <name val="ＭＳ Ｐゴシック"/>
      <family val="3"/>
      <charset val="128"/>
    </font>
    <font>
      <sz val="6"/>
      <name val="ＭＳ Ｐゴシック"/>
      <family val="3"/>
      <charset val="128"/>
    </font>
    <font>
      <sz val="9.5"/>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b/>
      <sz val="11"/>
      <color indexed="81"/>
      <name val="ＭＳ Ｐゴシック"/>
      <family val="3"/>
      <charset val="128"/>
    </font>
    <font>
      <b/>
      <sz val="11"/>
      <color indexed="8"/>
      <name val="ＭＳ Ｐゴシック"/>
      <family val="3"/>
      <charset val="128"/>
    </font>
    <font>
      <sz val="11"/>
      <color rgb="FFFF0000"/>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9"/>
      <color rgb="FFFF0000"/>
      <name val="ＭＳ Ｐゴシック"/>
      <family val="3"/>
      <charset val="128"/>
    </font>
    <font>
      <b/>
      <sz val="10"/>
      <color indexed="10"/>
      <name val="ＭＳ Ｐゴシック"/>
      <family val="3"/>
      <charset val="128"/>
    </font>
    <font>
      <b/>
      <sz val="9"/>
      <name val="ＭＳ Ｐゴシック"/>
      <family val="3"/>
      <charset val="128"/>
    </font>
    <font>
      <b/>
      <i/>
      <sz val="9"/>
      <name val="ＭＳ Ｐゴシック"/>
      <family val="3"/>
      <charset val="128"/>
    </font>
    <font>
      <b/>
      <i/>
      <sz val="10"/>
      <name val="ＭＳ Ｐゴシック"/>
      <family val="3"/>
      <charset val="128"/>
    </font>
    <font>
      <sz val="10"/>
      <color rgb="FFFF0000"/>
      <name val="ＭＳ Ｐゴシック"/>
      <family val="3"/>
      <charset val="128"/>
    </font>
    <font>
      <sz val="11"/>
      <color theme="1"/>
      <name val="ＭＳ Ｐゴシック"/>
      <family val="3"/>
      <charset val="128"/>
      <scheme val="minor"/>
    </font>
    <font>
      <sz val="14"/>
      <name val="ＭＳ Ｐゴシック"/>
      <family val="3"/>
      <charset val="128"/>
    </font>
    <font>
      <sz val="11"/>
      <color indexed="9"/>
      <name val="ＭＳ Ｐゴシック"/>
      <family val="3"/>
      <charset val="128"/>
    </font>
    <font>
      <sz val="11"/>
      <color indexed="81"/>
      <name val="ＭＳ Ｐゴシック"/>
      <family val="3"/>
      <charset val="128"/>
    </font>
    <font>
      <b/>
      <sz val="11"/>
      <color indexed="10"/>
      <name val="ＭＳ Ｐゴシック"/>
      <family val="3"/>
      <charset val="128"/>
    </font>
    <font>
      <sz val="14"/>
      <name val="ＭＳ 明朝"/>
      <family val="1"/>
      <charset val="128"/>
    </font>
    <font>
      <sz val="11"/>
      <color theme="0"/>
      <name val="ＭＳ Ｐゴシック"/>
      <family val="3"/>
      <charset val="128"/>
    </font>
    <font>
      <sz val="10"/>
      <name val="ＭＳ Ｐゴシック"/>
      <family val="3"/>
      <charset val="128"/>
      <scheme val="minor"/>
    </font>
    <font>
      <sz val="10"/>
      <color theme="1"/>
      <name val="ＭＳ Ｐゴシック"/>
      <family val="3"/>
      <charset val="128"/>
    </font>
  </fonts>
  <fills count="25">
    <fill>
      <patternFill patternType="none"/>
    </fill>
    <fill>
      <patternFill patternType="gray125"/>
    </fill>
    <fill>
      <patternFill patternType="solid">
        <fgColor indexed="43"/>
        <bgColor indexed="26"/>
      </patternFill>
    </fill>
    <fill>
      <patternFill patternType="solid">
        <fgColor indexed="42"/>
        <bgColor indexed="27"/>
      </patternFill>
    </fill>
    <fill>
      <patternFill patternType="solid">
        <fgColor indexed="26"/>
        <bgColor indexed="43"/>
      </patternFill>
    </fill>
    <fill>
      <patternFill patternType="solid">
        <fgColor indexed="22"/>
        <bgColor indexed="31"/>
      </patternFill>
    </fill>
    <fill>
      <patternFill patternType="solid">
        <fgColor theme="8" tint="0.59999389629810485"/>
        <bgColor indexed="64"/>
      </patternFill>
    </fill>
    <fill>
      <patternFill patternType="solid">
        <fgColor rgb="FFCCFFCC"/>
        <bgColor indexed="64"/>
      </patternFill>
    </fill>
    <fill>
      <patternFill patternType="solid">
        <fgColor theme="8" tint="0.59999389629810485"/>
        <bgColor indexed="49"/>
      </patternFill>
    </fill>
    <fill>
      <patternFill patternType="solid">
        <fgColor theme="8" tint="0.59999389629810485"/>
        <bgColor indexed="42"/>
      </patternFill>
    </fill>
    <fill>
      <patternFill patternType="solid">
        <fgColor rgb="FFCCFFCC"/>
        <bgColor indexed="42"/>
      </patternFill>
    </fill>
    <fill>
      <patternFill patternType="solid">
        <fgColor rgb="FFCCFFCC"/>
        <bgColor indexed="49"/>
      </patternFill>
    </fill>
    <fill>
      <patternFill patternType="solid">
        <fgColor rgb="FFFFFF99"/>
        <bgColor indexed="64"/>
      </patternFill>
    </fill>
    <fill>
      <patternFill patternType="solid">
        <fgColor rgb="FFFFFF99"/>
        <bgColor indexed="26"/>
      </patternFill>
    </fill>
    <fill>
      <patternFill patternType="solid">
        <fgColor theme="5" tint="0.59999389629810485"/>
        <bgColor indexed="27"/>
      </patternFill>
    </fill>
    <fill>
      <patternFill patternType="solid">
        <fgColor theme="5" tint="0.59999389629810485"/>
        <bgColor indexed="26"/>
      </patternFill>
    </fill>
    <fill>
      <patternFill patternType="solid">
        <fgColor theme="5" tint="0.59999389629810485"/>
        <bgColor indexed="49"/>
      </patternFill>
    </fill>
    <fill>
      <patternFill patternType="solid">
        <fgColor theme="5" tint="0.59999389629810485"/>
        <bgColor indexed="64"/>
      </patternFill>
    </fill>
    <fill>
      <patternFill patternType="mediumGray">
        <fgColor indexed="42"/>
      </patternFill>
    </fill>
    <fill>
      <patternFill patternType="mediumGray">
        <fgColor indexed="47"/>
      </patternFill>
    </fill>
    <fill>
      <patternFill patternType="darkGray">
        <fgColor indexed="42"/>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27"/>
      </patternFill>
    </fill>
  </fills>
  <borders count="266">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style="thin">
        <color indexed="8"/>
      </left>
      <right style="thin">
        <color indexed="8"/>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thin">
        <color indexed="8"/>
      </left>
      <right/>
      <top style="hair">
        <color indexed="8"/>
      </top>
      <bottom style="hair">
        <color indexed="8"/>
      </bottom>
      <diagonal/>
    </border>
    <border>
      <left style="thin">
        <color indexed="8"/>
      </left>
      <right style="thin">
        <color indexed="8"/>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top/>
      <bottom style="hair">
        <color indexed="8"/>
      </bottom>
      <diagonal/>
    </border>
    <border>
      <left/>
      <right/>
      <top/>
      <bottom style="hair">
        <color indexed="8"/>
      </bottom>
      <diagonal/>
    </border>
    <border>
      <left style="thin">
        <color indexed="8"/>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right/>
      <top style="thin">
        <color indexed="8"/>
      </top>
      <bottom style="thin">
        <color indexed="8"/>
      </bottom>
      <diagonal/>
    </border>
    <border>
      <left style="thin">
        <color indexed="8"/>
      </left>
      <right/>
      <top style="thin">
        <color indexed="8"/>
      </top>
      <bottom/>
      <diagonal/>
    </border>
    <border>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hair">
        <color indexed="8"/>
      </top>
      <bottom style="hair">
        <color indexed="8"/>
      </bottom>
      <diagonal/>
    </border>
    <border>
      <left style="medium">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style="hair">
        <color indexed="8"/>
      </left>
      <right/>
      <top/>
      <bottom style="hair">
        <color indexed="8"/>
      </bottom>
      <diagonal/>
    </border>
    <border>
      <left style="hair">
        <color indexed="8"/>
      </left>
      <right style="medium">
        <color indexed="8"/>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medium">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style="hair">
        <color indexed="8"/>
      </right>
      <top/>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style="thin">
        <color indexed="8"/>
      </bottom>
      <diagonal/>
    </border>
    <border>
      <left/>
      <right style="hair">
        <color indexed="8"/>
      </right>
      <top style="thin">
        <color indexed="8"/>
      </top>
      <bottom/>
      <diagonal/>
    </border>
    <border>
      <left/>
      <right style="hair">
        <color indexed="8"/>
      </right>
      <top/>
      <bottom style="thin">
        <color indexed="8"/>
      </bottom>
      <diagonal/>
    </border>
    <border>
      <left style="thin">
        <color indexed="8"/>
      </left>
      <right/>
      <top style="hair">
        <color indexed="8"/>
      </top>
      <bottom/>
      <diagonal/>
    </border>
    <border>
      <left/>
      <right/>
      <top style="hair">
        <color indexed="8"/>
      </top>
      <bottom/>
      <diagonal/>
    </border>
    <border>
      <left/>
      <right style="thin">
        <color indexed="8"/>
      </right>
      <top style="hair">
        <color indexed="8"/>
      </top>
      <bottom/>
      <diagonal/>
    </border>
    <border>
      <left/>
      <right/>
      <top style="hair">
        <color indexed="8"/>
      </top>
      <bottom style="hair">
        <color indexed="8"/>
      </bottom>
      <diagonal/>
    </border>
    <border>
      <left/>
      <right/>
      <top style="hair">
        <color indexed="8"/>
      </top>
      <bottom style="thin">
        <color indexed="8"/>
      </bottom>
      <diagonal/>
    </border>
    <border>
      <left/>
      <right/>
      <top style="thin">
        <color indexed="8"/>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hair">
        <color indexed="8"/>
      </top>
      <bottom/>
      <diagonal/>
    </border>
    <border>
      <left style="thin">
        <color indexed="22"/>
      </left>
      <right style="thin">
        <color indexed="22"/>
      </right>
      <top/>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bottom style="medium">
        <color indexed="8"/>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hair">
        <color indexed="8"/>
      </right>
      <top style="thin">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bottom style="medium">
        <color indexed="8"/>
      </bottom>
      <diagonal/>
    </border>
    <border>
      <left style="hair">
        <color indexed="8"/>
      </left>
      <right style="thin">
        <color indexed="8"/>
      </right>
      <top style="hair">
        <color indexed="8"/>
      </top>
      <bottom style="hair">
        <color indexed="8"/>
      </bottom>
      <diagonal/>
    </border>
    <border>
      <left style="thin">
        <color indexed="8"/>
      </left>
      <right style="medium">
        <color indexed="8"/>
      </right>
      <top style="thin">
        <color indexed="8"/>
      </top>
      <bottom/>
      <diagonal/>
    </border>
    <border>
      <left style="medium">
        <color indexed="64"/>
      </left>
      <right style="hair">
        <color indexed="8"/>
      </right>
      <top style="medium">
        <color indexed="64"/>
      </top>
      <bottom/>
      <diagonal/>
    </border>
    <border>
      <left style="hair">
        <color indexed="8"/>
      </left>
      <right style="hair">
        <color indexed="8"/>
      </right>
      <top style="medium">
        <color indexed="64"/>
      </top>
      <bottom style="hair">
        <color indexed="8"/>
      </bottom>
      <diagonal/>
    </border>
    <border>
      <left style="hair">
        <color indexed="8"/>
      </left>
      <right/>
      <top style="medium">
        <color indexed="64"/>
      </top>
      <bottom style="hair">
        <color indexed="8"/>
      </bottom>
      <diagonal/>
    </border>
    <border>
      <left style="medium">
        <color indexed="8"/>
      </left>
      <right style="hair">
        <color indexed="8"/>
      </right>
      <top style="medium">
        <color indexed="64"/>
      </top>
      <bottom style="hair">
        <color indexed="8"/>
      </bottom>
      <diagonal/>
    </border>
    <border>
      <left style="hair">
        <color indexed="8"/>
      </left>
      <right style="medium">
        <color indexed="8"/>
      </right>
      <top style="medium">
        <color indexed="64"/>
      </top>
      <bottom style="hair">
        <color indexed="8"/>
      </bottom>
      <diagonal/>
    </border>
    <border>
      <left/>
      <right style="hair">
        <color indexed="8"/>
      </right>
      <top style="medium">
        <color indexed="64"/>
      </top>
      <bottom style="hair">
        <color indexed="8"/>
      </bottom>
      <diagonal/>
    </border>
    <border>
      <left style="medium">
        <color indexed="8"/>
      </left>
      <right style="medium">
        <color indexed="64"/>
      </right>
      <top style="medium">
        <color indexed="64"/>
      </top>
      <bottom style="hair">
        <color indexed="8"/>
      </bottom>
      <diagonal/>
    </border>
    <border>
      <left style="medium">
        <color indexed="64"/>
      </left>
      <right style="hair">
        <color indexed="8"/>
      </right>
      <top/>
      <bottom/>
      <diagonal/>
    </border>
    <border>
      <left style="medium">
        <color indexed="8"/>
      </left>
      <right style="medium">
        <color indexed="64"/>
      </right>
      <top/>
      <bottom style="hair">
        <color indexed="8"/>
      </bottom>
      <diagonal/>
    </border>
    <border>
      <left style="medium">
        <color indexed="64"/>
      </left>
      <right style="hair">
        <color indexed="8"/>
      </right>
      <top/>
      <bottom style="medium">
        <color indexed="64"/>
      </bottom>
      <diagonal/>
    </border>
    <border>
      <left style="hair">
        <color indexed="8"/>
      </left>
      <right style="hair">
        <color indexed="8"/>
      </right>
      <top/>
      <bottom style="medium">
        <color indexed="64"/>
      </bottom>
      <diagonal/>
    </border>
    <border>
      <left style="hair">
        <color indexed="8"/>
      </left>
      <right/>
      <top/>
      <bottom style="medium">
        <color indexed="64"/>
      </bottom>
      <diagonal/>
    </border>
    <border>
      <left style="medium">
        <color indexed="8"/>
      </left>
      <right style="hair">
        <color indexed="8"/>
      </right>
      <top/>
      <bottom style="medium">
        <color indexed="64"/>
      </bottom>
      <diagonal/>
    </border>
    <border>
      <left style="hair">
        <color indexed="8"/>
      </left>
      <right style="medium">
        <color indexed="8"/>
      </right>
      <top/>
      <bottom style="medium">
        <color indexed="64"/>
      </bottom>
      <diagonal/>
    </border>
    <border>
      <left/>
      <right style="hair">
        <color indexed="8"/>
      </right>
      <top/>
      <bottom style="medium">
        <color indexed="64"/>
      </bottom>
      <diagonal/>
    </border>
    <border>
      <left style="medium">
        <color indexed="8"/>
      </left>
      <right style="medium">
        <color indexed="64"/>
      </right>
      <top/>
      <bottom style="medium">
        <color indexed="64"/>
      </bottom>
      <diagonal/>
    </border>
    <border>
      <left style="hair">
        <color indexed="8"/>
      </left>
      <right style="hair">
        <color indexed="8"/>
      </right>
      <top style="hair">
        <color indexed="8"/>
      </top>
      <bottom style="double">
        <color indexed="64"/>
      </bottom>
      <diagonal/>
    </border>
    <border>
      <left style="hair">
        <color indexed="8"/>
      </left>
      <right/>
      <top style="hair">
        <color indexed="8"/>
      </top>
      <bottom style="double">
        <color indexed="64"/>
      </bottom>
      <diagonal/>
    </border>
    <border>
      <left style="medium">
        <color indexed="8"/>
      </left>
      <right style="hair">
        <color indexed="8"/>
      </right>
      <top style="hair">
        <color indexed="8"/>
      </top>
      <bottom style="double">
        <color indexed="64"/>
      </bottom>
      <diagonal/>
    </border>
    <border>
      <left style="hair">
        <color indexed="8"/>
      </left>
      <right style="medium">
        <color indexed="8"/>
      </right>
      <top style="hair">
        <color indexed="8"/>
      </top>
      <bottom style="double">
        <color indexed="64"/>
      </bottom>
      <diagonal/>
    </border>
    <border>
      <left/>
      <right style="hair">
        <color indexed="8"/>
      </right>
      <top style="hair">
        <color indexed="8"/>
      </top>
      <bottom style="double">
        <color indexed="64"/>
      </bottom>
      <diagonal/>
    </border>
    <border>
      <left style="medium">
        <color indexed="8"/>
      </left>
      <right style="medium">
        <color indexed="64"/>
      </right>
      <top style="hair">
        <color indexed="8"/>
      </top>
      <bottom style="double">
        <color indexed="64"/>
      </bottom>
      <diagonal/>
    </border>
    <border>
      <left style="thin">
        <color indexed="64"/>
      </left>
      <right style="hair">
        <color indexed="8"/>
      </right>
      <top style="medium">
        <color indexed="64"/>
      </top>
      <bottom style="hair">
        <color indexed="8"/>
      </bottom>
      <diagonal/>
    </border>
    <border>
      <left style="thin">
        <color indexed="64"/>
      </left>
      <right style="hair">
        <color indexed="8"/>
      </right>
      <top/>
      <bottom/>
      <diagonal/>
    </border>
    <border>
      <left style="thin">
        <color indexed="64"/>
      </left>
      <right style="hair">
        <color indexed="8"/>
      </right>
      <top style="hair">
        <color indexed="8"/>
      </top>
      <bottom style="hair">
        <color indexed="8"/>
      </bottom>
      <diagonal/>
    </border>
    <border>
      <left style="thin">
        <color indexed="64"/>
      </left>
      <right style="hair">
        <color indexed="8"/>
      </right>
      <top/>
      <bottom style="hair">
        <color indexed="8"/>
      </bottom>
      <diagonal/>
    </border>
    <border>
      <left style="thin">
        <color indexed="64"/>
      </left>
      <right style="hair">
        <color indexed="8"/>
      </right>
      <top style="hair">
        <color indexed="8"/>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8"/>
      </left>
      <right style="medium">
        <color indexed="64"/>
      </right>
      <top style="hair">
        <color indexed="8"/>
      </top>
      <bottom style="hair">
        <color indexed="8"/>
      </bottom>
      <diagonal/>
    </border>
    <border>
      <left style="thin">
        <color indexed="64"/>
      </left>
      <right style="hair">
        <color indexed="8"/>
      </right>
      <top/>
      <bottom style="medium">
        <color indexed="64"/>
      </bottom>
      <diagonal/>
    </border>
    <border>
      <left style="thin">
        <color indexed="8"/>
      </left>
      <right style="medium">
        <color indexed="64"/>
      </right>
      <top/>
      <bottom style="thin">
        <color indexed="8"/>
      </bottom>
      <diagonal/>
    </border>
    <border>
      <left style="thin">
        <color indexed="8"/>
      </left>
      <right style="thin">
        <color indexed="8"/>
      </right>
      <top style="thin">
        <color indexed="8"/>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double">
        <color auto="1"/>
      </bottom>
      <diagonal/>
    </border>
    <border>
      <left/>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diagonal/>
    </border>
    <border>
      <left/>
      <right style="medium">
        <color auto="1"/>
      </right>
      <top/>
      <bottom/>
      <diagonal/>
    </border>
    <border>
      <left style="dotted">
        <color auto="1"/>
      </left>
      <right style="dotted">
        <color auto="1"/>
      </right>
      <top style="thin">
        <color auto="1"/>
      </top>
      <bottom/>
      <diagonal/>
    </border>
    <border>
      <left/>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style="hair">
        <color indexed="8"/>
      </top>
      <bottom style="hair">
        <color indexed="8"/>
      </bottom>
      <diagonal/>
    </border>
    <border>
      <left style="thin">
        <color indexed="64"/>
      </left>
      <right/>
      <top style="hair">
        <color indexed="8"/>
      </top>
      <bottom style="hair">
        <color indexed="8"/>
      </bottom>
      <diagonal/>
    </border>
    <border>
      <left style="thin">
        <color indexed="8"/>
      </left>
      <right style="thin">
        <color indexed="64"/>
      </right>
      <top style="hair">
        <color indexed="8"/>
      </top>
      <bottom/>
      <diagonal/>
    </border>
    <border>
      <left style="thin">
        <color indexed="8"/>
      </left>
      <right style="thin">
        <color indexed="64"/>
      </right>
      <top style="hair">
        <color indexed="8"/>
      </top>
      <bottom style="thin">
        <color indexed="8"/>
      </bottom>
      <diagonal/>
    </border>
    <border>
      <left style="thin">
        <color indexed="8"/>
      </left>
      <right style="thin">
        <color indexed="64"/>
      </right>
      <top/>
      <bottom style="hair">
        <color indexed="8"/>
      </bottom>
      <diagonal/>
    </border>
    <border>
      <left style="thin">
        <color indexed="8"/>
      </left>
      <right style="thin">
        <color indexed="64"/>
      </right>
      <top/>
      <bottom/>
      <diagonal/>
    </border>
    <border>
      <left style="thin">
        <color indexed="8"/>
      </left>
      <right/>
      <top style="hair">
        <color indexed="8"/>
      </top>
      <bottom style="thin">
        <color indexed="64"/>
      </bottom>
      <diagonal/>
    </border>
    <border>
      <left style="thin">
        <color indexed="8"/>
      </left>
      <right style="thin">
        <color indexed="64"/>
      </right>
      <top style="hair">
        <color indexed="8"/>
      </top>
      <bottom style="thin">
        <color indexed="64"/>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style="thin">
        <color indexed="8"/>
      </top>
      <bottom/>
      <diagonal/>
    </border>
    <border>
      <left style="thin">
        <color indexed="8"/>
      </left>
      <right/>
      <top/>
      <bottom/>
      <diagonal/>
    </border>
    <border>
      <left/>
      <right style="hair">
        <color indexed="8"/>
      </right>
      <top style="thin">
        <color indexed="8"/>
      </top>
      <bottom/>
      <diagonal/>
    </border>
    <border>
      <left style="thin">
        <color indexed="8"/>
      </left>
      <right style="thin">
        <color indexed="8"/>
      </right>
      <top/>
      <bottom/>
      <diagonal/>
    </border>
    <border>
      <left/>
      <right/>
      <top style="thin">
        <color indexed="64"/>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indexed="8"/>
      </right>
      <top style="hair">
        <color indexed="8"/>
      </top>
      <bottom style="thin">
        <color indexed="64"/>
      </bottom>
      <diagonal/>
    </border>
    <border>
      <left style="thin">
        <color indexed="8"/>
      </left>
      <right/>
      <top style="thin">
        <color indexed="64"/>
      </top>
      <bottom style="hair">
        <color indexed="8"/>
      </bottom>
      <diagonal/>
    </border>
    <border>
      <left/>
      <right style="thin">
        <color indexed="8"/>
      </right>
      <top style="thin">
        <color indexed="64"/>
      </top>
      <bottom style="hair">
        <color indexed="8"/>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right/>
      <top/>
      <bottom style="medium">
        <color auto="1"/>
      </bottom>
      <diagonal/>
    </border>
    <border>
      <left style="medium">
        <color auto="1"/>
      </left>
      <right/>
      <top/>
      <bottom style="medium">
        <color auto="1"/>
      </bottom>
      <diagonal/>
    </border>
    <border>
      <left style="medium">
        <color indexed="64"/>
      </left>
      <right style="thin">
        <color indexed="64"/>
      </right>
      <top style="thin">
        <color indexed="64"/>
      </top>
      <bottom/>
      <diagonal/>
    </border>
    <border>
      <left style="medium">
        <color indexed="64"/>
      </left>
      <right/>
      <top style="medium">
        <color indexed="64"/>
      </top>
      <bottom style="thin">
        <color auto="1"/>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auto="1"/>
      </left>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auto="1"/>
      </right>
      <top style="medium">
        <color auto="1"/>
      </top>
      <bottom style="double">
        <color indexed="64"/>
      </bottom>
      <diagonal/>
    </border>
    <border>
      <left style="medium">
        <color auto="1"/>
      </left>
      <right style="thin">
        <color auto="1"/>
      </right>
      <top/>
      <bottom style="medium">
        <color auto="1"/>
      </bottom>
      <diagonal/>
    </border>
    <border>
      <left style="thin">
        <color auto="1"/>
      </left>
      <right style="thin">
        <color auto="1"/>
      </right>
      <top/>
      <bottom style="medium">
        <color indexed="64"/>
      </bottom>
      <diagonal/>
    </border>
    <border>
      <left style="thin">
        <color auto="1"/>
      </left>
      <right style="medium">
        <color indexed="64"/>
      </right>
      <top/>
      <bottom style="medium">
        <color auto="1"/>
      </bottom>
      <diagonal/>
    </border>
    <border>
      <left style="medium">
        <color indexed="64"/>
      </left>
      <right style="medium">
        <color indexed="64"/>
      </right>
      <top/>
      <bottom style="medium">
        <color indexed="64"/>
      </bottom>
      <diagonal/>
    </border>
    <border>
      <left style="medium">
        <color indexed="64"/>
      </left>
      <right style="thin">
        <color indexed="64"/>
      </right>
      <top style="medium">
        <color auto="1"/>
      </top>
      <bottom style="double">
        <color indexed="64"/>
      </bottom>
      <diagonal/>
    </border>
    <border>
      <left style="thin">
        <color auto="1"/>
      </left>
      <right style="thin">
        <color auto="1"/>
      </right>
      <top style="medium">
        <color auto="1"/>
      </top>
      <bottom style="double">
        <color indexed="64"/>
      </bottom>
      <diagonal/>
    </border>
    <border>
      <left/>
      <right/>
      <top style="medium">
        <color indexed="64"/>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hair">
        <color indexed="8"/>
      </right>
      <top/>
      <bottom style="medium">
        <color indexed="64"/>
      </bottom>
      <diagonal/>
    </border>
    <border>
      <left/>
      <right style="hair">
        <color indexed="8"/>
      </right>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style="thin">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medium">
        <color indexed="8"/>
      </left>
      <right style="hair">
        <color indexed="8"/>
      </right>
      <top style="medium">
        <color indexed="64"/>
      </top>
      <bottom/>
      <diagonal/>
    </border>
    <border>
      <left style="hair">
        <color indexed="8"/>
      </left>
      <right style="medium">
        <color indexed="8"/>
      </right>
      <top style="medium">
        <color indexed="64"/>
      </top>
      <bottom/>
      <diagonal/>
    </border>
    <border>
      <left/>
      <right/>
      <top style="medium">
        <color indexed="64"/>
      </top>
      <bottom/>
      <diagonal/>
    </border>
    <border>
      <left style="medium">
        <color indexed="8"/>
      </left>
      <right style="medium">
        <color indexed="64"/>
      </right>
      <top style="medium">
        <color indexed="64"/>
      </top>
      <bottom/>
      <diagonal/>
    </border>
    <border>
      <left style="medium">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thin">
        <color auto="1"/>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medium">
        <color indexed="8"/>
      </left>
      <right style="hair">
        <color indexed="8"/>
      </right>
      <top/>
      <bottom style="medium">
        <color indexed="64"/>
      </bottom>
      <diagonal/>
    </border>
    <border>
      <left style="medium">
        <color indexed="8"/>
      </left>
      <right style="medium">
        <color indexed="64"/>
      </right>
      <top/>
      <bottom style="medium">
        <color indexed="64"/>
      </bottom>
      <diagonal/>
    </border>
    <border>
      <left style="dotted">
        <color auto="1"/>
      </left>
      <right style="dotted">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top style="medium">
        <color auto="1"/>
      </top>
      <bottom style="double">
        <color auto="1"/>
      </bottom>
      <diagonal/>
    </border>
    <border>
      <left/>
      <right style="medium">
        <color auto="1"/>
      </right>
      <top style="medium">
        <color auto="1"/>
      </top>
      <bottom style="double">
        <color auto="1"/>
      </bottom>
      <diagonal/>
    </border>
    <border>
      <left/>
      <right/>
      <top style="medium">
        <color auto="1"/>
      </top>
      <bottom style="double">
        <color auto="1"/>
      </bottom>
      <diagonal/>
    </border>
    <border>
      <left style="dotted">
        <color auto="1"/>
      </left>
      <right style="dotted">
        <color auto="1"/>
      </right>
      <top style="medium">
        <color auto="1"/>
      </top>
      <bottom style="double">
        <color auto="1"/>
      </bottom>
      <diagonal/>
    </border>
    <border>
      <left style="thin">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right style="dotted">
        <color auto="1"/>
      </right>
      <top style="medium">
        <color indexed="64"/>
      </top>
      <bottom style="medium">
        <color indexed="64"/>
      </bottom>
      <diagonal/>
    </border>
    <border>
      <left style="dotted">
        <color auto="1"/>
      </left>
      <right style="dotted">
        <color auto="1"/>
      </right>
      <top style="medium">
        <color auto="1"/>
      </top>
      <bottom style="medium">
        <color auto="1"/>
      </bottom>
      <diagonal/>
    </border>
    <border>
      <left style="dotted">
        <color auto="1"/>
      </left>
      <right style="thin">
        <color auto="1"/>
      </right>
      <top style="medium">
        <color indexed="64"/>
      </top>
      <bottom style="medium">
        <color indexed="64"/>
      </bottom>
      <diagonal/>
    </border>
    <border>
      <left style="dotted">
        <color auto="1"/>
      </left>
      <right/>
      <top style="medium">
        <color indexed="64"/>
      </top>
      <bottom style="medium">
        <color indexed="64"/>
      </bottom>
      <diagonal/>
    </border>
    <border>
      <left style="thin">
        <color auto="1"/>
      </left>
      <right style="dotted">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hair">
        <color indexed="8"/>
      </top>
      <bottom style="hair">
        <color indexed="64"/>
      </bottom>
      <diagonal/>
    </border>
    <border>
      <left style="thin">
        <color indexed="64"/>
      </left>
      <right style="hair">
        <color indexed="8"/>
      </right>
      <top style="hair">
        <color indexed="8"/>
      </top>
      <bottom style="hair">
        <color indexed="64"/>
      </bottom>
      <diagonal/>
    </border>
    <border>
      <left style="medium">
        <color indexed="64"/>
      </left>
      <right style="thin">
        <color indexed="64"/>
      </right>
      <top/>
      <bottom/>
      <diagonal/>
    </border>
    <border>
      <left style="thin">
        <color indexed="64"/>
      </left>
      <right style="hair">
        <color indexed="8"/>
      </right>
      <top style="medium">
        <color indexed="64"/>
      </top>
      <bottom style="hair">
        <color indexed="64"/>
      </bottom>
      <diagonal/>
    </border>
    <border>
      <left style="hair">
        <color indexed="8"/>
      </left>
      <right style="hair">
        <color indexed="8"/>
      </right>
      <top style="hair">
        <color indexed="64"/>
      </top>
      <bottom style="hair">
        <color indexed="8"/>
      </bottom>
      <diagonal/>
    </border>
    <border>
      <left style="hair">
        <color indexed="8"/>
      </left>
      <right style="hair">
        <color indexed="8"/>
      </right>
      <top style="medium">
        <color indexed="64"/>
      </top>
      <bottom style="hair">
        <color indexed="64"/>
      </bottom>
      <diagonal/>
    </border>
    <border>
      <left style="thin">
        <color indexed="64"/>
      </left>
      <right style="hair">
        <color indexed="8"/>
      </right>
      <top/>
      <bottom style="hair">
        <color indexed="64"/>
      </bottom>
      <diagonal/>
    </border>
    <border>
      <left style="hair">
        <color indexed="8"/>
      </left>
      <right style="hair">
        <color indexed="8"/>
      </right>
      <top/>
      <bottom style="hair">
        <color indexed="64"/>
      </bottom>
      <diagonal/>
    </border>
    <border>
      <left style="hair">
        <color indexed="8"/>
      </left>
      <right style="hair">
        <color indexed="8"/>
      </right>
      <top style="hair">
        <color indexed="8"/>
      </top>
      <bottom style="hair">
        <color indexed="64"/>
      </bottom>
      <diagonal/>
    </border>
    <border>
      <left style="hair">
        <color indexed="8"/>
      </left>
      <right/>
      <top style="hair">
        <color indexed="8"/>
      </top>
      <bottom style="hair">
        <color indexed="64"/>
      </bottom>
      <diagonal/>
    </border>
    <border>
      <left style="medium">
        <color indexed="8"/>
      </left>
      <right style="hair">
        <color indexed="8"/>
      </right>
      <top style="hair">
        <color indexed="8"/>
      </top>
      <bottom style="hair">
        <color indexed="64"/>
      </bottom>
      <diagonal/>
    </border>
    <border>
      <left style="hair">
        <color indexed="8"/>
      </left>
      <right style="medium">
        <color indexed="8"/>
      </right>
      <top style="hair">
        <color indexed="8"/>
      </top>
      <bottom style="hair">
        <color indexed="64"/>
      </bottom>
      <diagonal/>
    </border>
    <border>
      <left/>
      <right style="hair">
        <color indexed="8"/>
      </right>
      <top style="hair">
        <color indexed="8"/>
      </top>
      <bottom style="hair">
        <color indexed="64"/>
      </bottom>
      <diagonal/>
    </border>
    <border>
      <left style="medium">
        <color indexed="8"/>
      </left>
      <right style="medium">
        <color indexed="64"/>
      </right>
      <top style="hair">
        <color indexed="8"/>
      </top>
      <bottom style="hair">
        <color indexed="64"/>
      </bottom>
      <diagonal/>
    </border>
    <border>
      <left style="thin">
        <color indexed="64"/>
      </left>
      <right style="hair">
        <color indexed="8"/>
      </right>
      <top style="hair">
        <color indexed="8"/>
      </top>
      <bottom/>
      <diagonal/>
    </border>
    <border>
      <left style="hair">
        <color indexed="8"/>
      </left>
      <right/>
      <top/>
      <bottom/>
      <diagonal/>
    </border>
    <border>
      <left style="medium">
        <color indexed="8"/>
      </left>
      <right style="hair">
        <color indexed="8"/>
      </right>
      <top/>
      <bottom/>
      <diagonal/>
    </border>
    <border>
      <left style="hair">
        <color indexed="8"/>
      </left>
      <right style="medium">
        <color indexed="8"/>
      </right>
      <top/>
      <bottom/>
      <diagonal/>
    </border>
    <border>
      <left style="medium">
        <color indexed="8"/>
      </left>
      <right style="medium">
        <color indexed="64"/>
      </right>
      <top/>
      <bottom/>
      <diagonal/>
    </border>
    <border>
      <left style="medium">
        <color auto="1"/>
      </left>
      <right style="thin">
        <color auto="1"/>
      </right>
      <top/>
      <bottom/>
      <diagonal/>
    </border>
    <border>
      <left style="medium">
        <color indexed="8"/>
      </left>
      <right style="medium">
        <color indexed="64"/>
      </right>
      <top style="medium">
        <color indexed="64"/>
      </top>
      <bottom style="hair">
        <color indexed="64"/>
      </bottom>
      <diagonal/>
    </border>
    <border>
      <left style="medium">
        <color indexed="8"/>
      </left>
      <right style="medium">
        <color indexed="64"/>
      </right>
      <top style="hair">
        <color indexed="64"/>
      </top>
      <bottom style="hair">
        <color indexed="64"/>
      </bottom>
      <diagonal/>
    </border>
    <border>
      <left style="thin">
        <color indexed="8"/>
      </left>
      <right style="thin">
        <color indexed="8"/>
      </right>
      <top/>
      <bottom style="thin">
        <color indexed="8"/>
      </bottom>
      <diagonal/>
    </border>
    <border>
      <left style="medium">
        <color indexed="64"/>
      </left>
      <right style="medium">
        <color indexed="64"/>
      </right>
      <top/>
      <bottom style="thin">
        <color auto="1"/>
      </bottom>
      <diagonal/>
    </border>
    <border>
      <left style="hair">
        <color indexed="8"/>
      </left>
      <right style="hair">
        <color indexed="8"/>
      </right>
      <top/>
      <bottom style="thin">
        <color indexed="64"/>
      </bottom>
      <diagonal/>
    </border>
    <border>
      <left style="thin">
        <color auto="1"/>
      </left>
      <right style="thin">
        <color auto="1"/>
      </right>
      <top style="thin">
        <color auto="1"/>
      </top>
      <bottom style="thin">
        <color auto="1"/>
      </bottom>
      <diagonal/>
    </border>
    <border>
      <left style="hair">
        <color indexed="8"/>
      </left>
      <right style="hair">
        <color indexed="8"/>
      </right>
      <top style="hair">
        <color indexed="8"/>
      </top>
      <bottom/>
      <diagonal/>
    </border>
    <border>
      <left style="hair">
        <color indexed="8"/>
      </left>
      <right/>
      <top style="hair">
        <color indexed="8"/>
      </top>
      <bottom/>
      <diagonal/>
    </border>
    <border>
      <left style="medium">
        <color indexed="8"/>
      </left>
      <right style="hair">
        <color indexed="8"/>
      </right>
      <top style="hair">
        <color indexed="8"/>
      </top>
      <bottom/>
      <diagonal/>
    </border>
    <border>
      <left style="hair">
        <color indexed="8"/>
      </left>
      <right style="medium">
        <color indexed="8"/>
      </right>
      <top style="hair">
        <color indexed="8"/>
      </top>
      <bottom/>
      <diagonal/>
    </border>
    <border>
      <left/>
      <right style="hair">
        <color indexed="8"/>
      </right>
      <top style="hair">
        <color indexed="8"/>
      </top>
      <bottom/>
      <diagonal/>
    </border>
  </borders>
  <cellStyleXfs count="30">
    <xf numFmtId="0" fontId="0" fillId="0" borderId="0"/>
    <xf numFmtId="9" fontId="16" fillId="0" borderId="0" applyFill="0" applyBorder="0" applyAlignment="0" applyProtection="0"/>
    <xf numFmtId="38" fontId="16" fillId="0" borderId="0" applyFill="0" applyBorder="0" applyAlignment="0" applyProtection="0"/>
    <xf numFmtId="0" fontId="2" fillId="0" borderId="0"/>
    <xf numFmtId="0" fontId="3" fillId="0" borderId="0"/>
    <xf numFmtId="0" fontId="3" fillId="0" borderId="0"/>
    <xf numFmtId="0" fontId="4" fillId="0" borderId="0"/>
    <xf numFmtId="0" fontId="4" fillId="0" borderId="0"/>
    <xf numFmtId="0" fontId="16" fillId="0" borderId="0">
      <alignment vertical="center"/>
    </xf>
    <xf numFmtId="0" fontId="31"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6" fillId="0" borderId="0"/>
    <xf numFmtId="0" fontId="23" fillId="0" borderId="0"/>
    <xf numFmtId="0" fontId="16" fillId="0" borderId="0"/>
    <xf numFmtId="0" fontId="3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6"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6" fillId="0" borderId="0">
      <alignment vertical="center"/>
    </xf>
  </cellStyleXfs>
  <cellXfs count="896">
    <xf numFmtId="0" fontId="0" fillId="0" borderId="0" xfId="0"/>
    <xf numFmtId="38" fontId="9" fillId="0" borderId="0" xfId="2" applyFont="1" applyFill="1" applyBorder="1" applyAlignment="1" applyProtection="1"/>
    <xf numFmtId="0" fontId="0" fillId="3" borderId="2" xfId="0" applyFont="1" applyFill="1" applyBorder="1" applyProtection="1">
      <protection locked="0"/>
    </xf>
    <xf numFmtId="0" fontId="0" fillId="2" borderId="15" xfId="0" applyFont="1" applyFill="1" applyBorder="1" applyProtection="1">
      <protection locked="0"/>
    </xf>
    <xf numFmtId="179" fontId="0" fillId="2" borderId="15" xfId="2" applyNumberFormat="1" applyFont="1" applyFill="1" applyBorder="1" applyAlignment="1" applyProtection="1">
      <protection locked="0"/>
    </xf>
    <xf numFmtId="40" fontId="0" fillId="2" borderId="15" xfId="2" applyNumberFormat="1" applyFont="1" applyFill="1" applyBorder="1" applyAlignment="1" applyProtection="1">
      <protection locked="0"/>
    </xf>
    <xf numFmtId="0" fontId="0" fillId="3" borderId="15" xfId="0" applyFont="1" applyFill="1" applyBorder="1" applyProtection="1">
      <protection locked="0"/>
    </xf>
    <xf numFmtId="179" fontId="0" fillId="2" borderId="2" xfId="2" applyNumberFormat="1" applyFont="1" applyFill="1" applyBorder="1" applyAlignment="1" applyProtection="1">
      <protection locked="0"/>
    </xf>
    <xf numFmtId="40" fontId="0" fillId="2" borderId="2" xfId="2" applyNumberFormat="1" applyFont="1" applyFill="1" applyBorder="1" applyAlignment="1" applyProtection="1">
      <protection locked="0"/>
    </xf>
    <xf numFmtId="40" fontId="0" fillId="0" borderId="39" xfId="2" applyNumberFormat="1" applyFont="1" applyFill="1" applyBorder="1" applyAlignment="1" applyProtection="1"/>
    <xf numFmtId="0" fontId="0" fillId="0" borderId="0" xfId="0" applyProtection="1"/>
    <xf numFmtId="0" fontId="4" fillId="0" borderId="0" xfId="0" applyFont="1" applyProtection="1"/>
    <xf numFmtId="0" fontId="0" fillId="0" borderId="0" xfId="0" applyAlignment="1">
      <alignment horizontal="center"/>
    </xf>
    <xf numFmtId="0" fontId="0" fillId="0" borderId="0" xfId="0" applyNumberFormat="1" applyAlignment="1">
      <alignment horizontal="center"/>
    </xf>
    <xf numFmtId="0" fontId="0" fillId="5" borderId="0" xfId="0" applyFont="1" applyFill="1" applyAlignment="1">
      <alignment horizontal="center"/>
    </xf>
    <xf numFmtId="0" fontId="7" fillId="5" borderId="2" xfId="5" applyFont="1" applyFill="1" applyBorder="1" applyAlignment="1">
      <alignment horizontal="center"/>
    </xf>
    <xf numFmtId="0" fontId="7" fillId="0" borderId="1" xfId="5" applyFont="1" applyFill="1" applyBorder="1" applyAlignment="1">
      <alignment wrapText="1"/>
    </xf>
    <xf numFmtId="0" fontId="7" fillId="0" borderId="69" xfId="5" applyFont="1" applyFill="1" applyBorder="1" applyAlignment="1">
      <alignment wrapText="1"/>
    </xf>
    <xf numFmtId="0" fontId="7" fillId="0" borderId="1" xfId="4" applyFont="1" applyFill="1" applyBorder="1" applyAlignment="1"/>
    <xf numFmtId="0" fontId="0" fillId="0" borderId="0" xfId="0" applyBorder="1" applyAlignment="1">
      <alignment vertical="center"/>
    </xf>
    <xf numFmtId="0" fontId="0" fillId="2" borderId="40" xfId="0" applyFill="1" applyBorder="1" applyAlignment="1" applyProtection="1">
      <alignment shrinkToFit="1"/>
      <protection locked="0"/>
    </xf>
    <xf numFmtId="0" fontId="0" fillId="2" borderId="71" xfId="0" applyFill="1" applyBorder="1" applyAlignment="1" applyProtection="1">
      <alignment shrinkToFit="1"/>
      <protection locked="0"/>
    </xf>
    <xf numFmtId="0" fontId="9" fillId="0" borderId="0" xfId="0" applyFont="1" applyProtection="1"/>
    <xf numFmtId="0" fontId="9" fillId="0" borderId="0" xfId="0" applyFont="1" applyAlignment="1" applyProtection="1">
      <alignment horizontal="center"/>
    </xf>
    <xf numFmtId="0" fontId="0" fillId="7" borderId="0" xfId="0" applyFill="1" applyProtection="1"/>
    <xf numFmtId="0" fontId="0" fillId="2" borderId="2" xfId="0" applyFill="1" applyBorder="1" applyProtection="1">
      <protection locked="0"/>
    </xf>
    <xf numFmtId="0" fontId="0" fillId="3" borderId="74" xfId="0" applyFill="1" applyBorder="1" applyProtection="1">
      <protection locked="0"/>
    </xf>
    <xf numFmtId="0" fontId="0" fillId="2" borderId="74" xfId="0" applyFill="1" applyBorder="1" applyProtection="1">
      <protection locked="0"/>
    </xf>
    <xf numFmtId="179" fontId="0" fillId="2" borderId="74" xfId="2" applyNumberFormat="1" applyFont="1" applyFill="1" applyBorder="1" applyAlignment="1" applyProtection="1">
      <protection locked="0"/>
    </xf>
    <xf numFmtId="40" fontId="0" fillId="2" borderId="74" xfId="2" applyNumberFormat="1" applyFont="1" applyFill="1" applyBorder="1" applyAlignment="1" applyProtection="1">
      <protection locked="0"/>
    </xf>
    <xf numFmtId="40" fontId="0" fillId="0" borderId="70" xfId="2" applyNumberFormat="1" applyFont="1" applyFill="1" applyBorder="1" applyAlignment="1" applyProtection="1"/>
    <xf numFmtId="0" fontId="0" fillId="3" borderId="2" xfId="0" applyFill="1" applyBorder="1" applyProtection="1">
      <protection locked="0"/>
    </xf>
    <xf numFmtId="0" fontId="8" fillId="0" borderId="0" xfId="0" applyFont="1" applyProtection="1"/>
    <xf numFmtId="0" fontId="4" fillId="0" borderId="52" xfId="0" applyFont="1" applyBorder="1" applyAlignment="1" applyProtection="1">
      <alignment horizontal="center" vertical="center"/>
    </xf>
    <xf numFmtId="0" fontId="4" fillId="0" borderId="53" xfId="0" applyFont="1" applyBorder="1" applyAlignment="1" applyProtection="1">
      <alignment horizontal="center" vertical="center"/>
    </xf>
    <xf numFmtId="0" fontId="4" fillId="0" borderId="54" xfId="0" applyFont="1" applyBorder="1" applyAlignment="1" applyProtection="1">
      <alignment horizontal="center" vertical="center"/>
    </xf>
    <xf numFmtId="0" fontId="11" fillId="0" borderId="55" xfId="0" applyFont="1" applyBorder="1" applyAlignment="1" applyProtection="1">
      <alignment horizontal="center"/>
    </xf>
    <xf numFmtId="0" fontId="11" fillId="0" borderId="43" xfId="0" applyFont="1" applyBorder="1" applyAlignment="1" applyProtection="1">
      <alignment horizontal="center"/>
    </xf>
    <xf numFmtId="0" fontId="11" fillId="0" borderId="43" xfId="0" applyFont="1" applyBorder="1" applyAlignment="1" applyProtection="1">
      <alignment horizontal="left"/>
    </xf>
    <xf numFmtId="0" fontId="4" fillId="0" borderId="19" xfId="0" applyFont="1" applyBorder="1" applyProtection="1"/>
    <xf numFmtId="0" fontId="4" fillId="0" borderId="55" xfId="0" applyFont="1" applyBorder="1" applyProtection="1"/>
    <xf numFmtId="0" fontId="4" fillId="0" borderId="43" xfId="0" applyFont="1" applyBorder="1" applyProtection="1"/>
    <xf numFmtId="0" fontId="4" fillId="0" borderId="0" xfId="0" applyFont="1" applyAlignment="1" applyProtection="1">
      <alignment vertical="center"/>
    </xf>
    <xf numFmtId="0" fontId="23" fillId="0" borderId="0" xfId="0" applyFont="1" applyProtection="1"/>
    <xf numFmtId="0" fontId="16" fillId="0" borderId="0" xfId="6" applyFont="1" applyBorder="1" applyAlignment="1" applyProtection="1">
      <alignment horizontal="left" vertical="center"/>
    </xf>
    <xf numFmtId="0" fontId="10" fillId="9" borderId="3" xfId="6" applyFont="1" applyFill="1" applyBorder="1" applyAlignment="1" applyProtection="1">
      <alignment horizontal="center" vertical="center"/>
    </xf>
    <xf numFmtId="180" fontId="10" fillId="9" borderId="3" xfId="6" applyNumberFormat="1" applyFont="1" applyFill="1" applyBorder="1" applyAlignment="1" applyProtection="1">
      <alignment horizontal="center" vertical="center"/>
    </xf>
    <xf numFmtId="185" fontId="16" fillId="0" borderId="17" xfId="2" applyNumberFormat="1" applyFont="1" applyFill="1" applyBorder="1" applyAlignment="1" applyProtection="1">
      <alignment vertical="center"/>
    </xf>
    <xf numFmtId="185" fontId="16" fillId="0" borderId="9" xfId="2" applyNumberFormat="1" applyFont="1" applyFill="1" applyBorder="1" applyAlignment="1" applyProtection="1">
      <alignment vertical="center"/>
    </xf>
    <xf numFmtId="185" fontId="16" fillId="0" borderId="20" xfId="2" applyNumberFormat="1" applyFont="1" applyFill="1" applyBorder="1" applyAlignment="1" applyProtection="1">
      <alignment vertical="center"/>
    </xf>
    <xf numFmtId="3" fontId="23" fillId="0" borderId="0" xfId="6" applyNumberFormat="1" applyFont="1" applyBorder="1" applyAlignment="1" applyProtection="1">
      <alignment horizontal="left" vertical="center" shrinkToFit="1"/>
    </xf>
    <xf numFmtId="3" fontId="23" fillId="0" borderId="18" xfId="6" applyNumberFormat="1" applyFont="1" applyBorder="1" applyAlignment="1" applyProtection="1">
      <alignment horizontal="left" vertical="center" shrinkToFit="1"/>
    </xf>
    <xf numFmtId="38" fontId="23" fillId="0" borderId="61" xfId="6" applyNumberFormat="1" applyFont="1" applyBorder="1" applyAlignment="1" applyProtection="1">
      <alignment vertical="center" shrinkToFit="1"/>
    </xf>
    <xf numFmtId="38" fontId="23" fillId="0" borderId="62" xfId="6" applyNumberFormat="1" applyFont="1" applyBorder="1" applyAlignment="1" applyProtection="1">
      <alignment vertical="center" shrinkToFit="1"/>
    </xf>
    <xf numFmtId="38" fontId="23" fillId="0" borderId="0" xfId="6" applyNumberFormat="1" applyFont="1" applyBorder="1" applyAlignment="1" applyProtection="1">
      <alignment vertical="center" shrinkToFit="1"/>
    </xf>
    <xf numFmtId="38" fontId="23" fillId="0" borderId="63" xfId="0" applyNumberFormat="1" applyFont="1" applyBorder="1" applyAlignment="1" applyProtection="1">
      <alignment vertical="center" shrinkToFit="1"/>
    </xf>
    <xf numFmtId="38" fontId="23" fillId="0" borderId="11" xfId="0" applyNumberFormat="1" applyFont="1" applyBorder="1" applyAlignment="1" applyProtection="1">
      <alignment vertical="center" shrinkToFit="1"/>
    </xf>
    <xf numFmtId="0" fontId="16" fillId="0" borderId="11" xfId="0" applyFont="1" applyBorder="1" applyAlignment="1" applyProtection="1">
      <alignment vertical="center" shrinkToFit="1"/>
    </xf>
    <xf numFmtId="0" fontId="16" fillId="0" borderId="63" xfId="0" applyFont="1" applyBorder="1" applyAlignment="1" applyProtection="1">
      <alignment vertical="center" shrinkToFit="1"/>
    </xf>
    <xf numFmtId="0" fontId="23" fillId="0" borderId="63" xfId="6" applyFont="1" applyBorder="1" applyAlignment="1" applyProtection="1">
      <alignment vertical="center" shrinkToFit="1"/>
    </xf>
    <xf numFmtId="186" fontId="23" fillId="0" borderId="18" xfId="6" applyNumberFormat="1" applyFont="1" applyBorder="1" applyAlignment="1" applyProtection="1">
      <alignment horizontal="left" vertical="center" shrinkToFit="1"/>
    </xf>
    <xf numFmtId="185" fontId="16" fillId="0" borderId="60" xfId="2" applyNumberFormat="1" applyFont="1" applyFill="1" applyBorder="1" applyAlignment="1" applyProtection="1">
      <alignment vertical="center"/>
    </xf>
    <xf numFmtId="185" fontId="16" fillId="0" borderId="13" xfId="2" applyNumberFormat="1" applyFont="1" applyFill="1" applyBorder="1" applyAlignment="1" applyProtection="1">
      <alignment vertical="center"/>
    </xf>
    <xf numFmtId="0" fontId="23" fillId="0" borderId="64" xfId="6" applyFont="1" applyBorder="1" applyAlignment="1" applyProtection="1">
      <alignment vertical="center" shrinkToFit="1"/>
    </xf>
    <xf numFmtId="0" fontId="23" fillId="0" borderId="14" xfId="6" applyFont="1" applyBorder="1" applyAlignment="1" applyProtection="1">
      <alignment vertical="center" shrinkToFit="1"/>
    </xf>
    <xf numFmtId="185" fontId="16" fillId="0" borderId="25" xfId="2" applyNumberFormat="1" applyFont="1" applyFill="1" applyBorder="1" applyAlignment="1" applyProtection="1">
      <alignment vertical="center"/>
    </xf>
    <xf numFmtId="38" fontId="23" fillId="0" borderId="63" xfId="6" applyNumberFormat="1" applyFont="1" applyBorder="1" applyAlignment="1" applyProtection="1">
      <alignment vertical="center" shrinkToFit="1"/>
    </xf>
    <xf numFmtId="38" fontId="23" fillId="0" borderId="11" xfId="6" applyNumberFormat="1" applyFont="1" applyBorder="1" applyAlignment="1" applyProtection="1">
      <alignment vertical="center" shrinkToFit="1"/>
    </xf>
    <xf numFmtId="0" fontId="23" fillId="0" borderId="18" xfId="6" applyFont="1" applyBorder="1" applyAlignment="1" applyProtection="1">
      <alignment vertical="center" shrinkToFit="1"/>
    </xf>
    <xf numFmtId="0" fontId="23" fillId="0" borderId="17" xfId="6" applyFont="1" applyBorder="1" applyAlignment="1" applyProtection="1">
      <alignment vertical="center" shrinkToFit="1"/>
    </xf>
    <xf numFmtId="0" fontId="23" fillId="0" borderId="0" xfId="6" applyFont="1" applyBorder="1" applyAlignment="1" applyProtection="1">
      <alignment vertical="center" shrinkToFit="1"/>
    </xf>
    <xf numFmtId="0" fontId="16" fillId="0" borderId="31" xfId="6" applyFont="1" applyBorder="1" applyAlignment="1" applyProtection="1">
      <alignment horizontal="center" vertical="center"/>
    </xf>
    <xf numFmtId="0" fontId="16" fillId="0" borderId="65" xfId="6" applyFont="1" applyBorder="1" applyAlignment="1" applyProtection="1">
      <alignment horizontal="left" vertical="center"/>
    </xf>
    <xf numFmtId="191" fontId="16" fillId="0" borderId="17" xfId="2" applyNumberFormat="1" applyFont="1" applyFill="1" applyBorder="1" applyAlignment="1" applyProtection="1">
      <alignment vertical="center"/>
    </xf>
    <xf numFmtId="188" fontId="23" fillId="0" borderId="31" xfId="6" applyNumberFormat="1" applyFont="1" applyBorder="1" applyAlignment="1" applyProtection="1">
      <alignment horizontal="left" vertical="center"/>
    </xf>
    <xf numFmtId="0" fontId="23" fillId="0" borderId="65" xfId="6" applyFont="1" applyBorder="1" applyAlignment="1" applyProtection="1">
      <alignment vertical="center"/>
    </xf>
    <xf numFmtId="0" fontId="23" fillId="0" borderId="16" xfId="6" applyFont="1" applyBorder="1" applyAlignment="1" applyProtection="1">
      <alignment vertical="center"/>
    </xf>
    <xf numFmtId="190" fontId="23" fillId="0" borderId="75" xfId="2" applyNumberFormat="1" applyFont="1" applyFill="1" applyBorder="1" applyAlignment="1" applyProtection="1">
      <alignment vertical="center"/>
    </xf>
    <xf numFmtId="190" fontId="16" fillId="0" borderId="76" xfId="2" applyNumberFormat="1" applyFont="1" applyFill="1" applyBorder="1" applyAlignment="1" applyProtection="1">
      <alignment vertical="center"/>
    </xf>
    <xf numFmtId="0" fontId="23" fillId="0" borderId="72" xfId="6" applyFont="1" applyBorder="1" applyAlignment="1" applyProtection="1">
      <alignment vertical="center"/>
    </xf>
    <xf numFmtId="0" fontId="23" fillId="0" borderId="73" xfId="6" applyFont="1" applyBorder="1" applyAlignment="1" applyProtection="1">
      <alignment vertical="center"/>
    </xf>
    <xf numFmtId="0" fontId="0" fillId="8" borderId="2"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0" fillId="0" borderId="0" xfId="0" applyFont="1" applyFill="1" applyAlignment="1">
      <alignment vertical="center"/>
    </xf>
    <xf numFmtId="0" fontId="0" fillId="0" borderId="0" xfId="0" applyFont="1" applyAlignment="1">
      <alignment vertical="center"/>
    </xf>
    <xf numFmtId="0" fontId="0" fillId="8" borderId="3" xfId="0" applyFont="1" applyFill="1" applyBorder="1" applyAlignment="1">
      <alignment horizontal="center" vertical="center"/>
    </xf>
    <xf numFmtId="0" fontId="0" fillId="8" borderId="4" xfId="0" applyFont="1" applyFill="1" applyBorder="1" applyAlignment="1">
      <alignment horizontal="center" vertical="center"/>
    </xf>
    <xf numFmtId="0" fontId="23" fillId="0" borderId="0" xfId="7" applyFont="1" applyAlignment="1" applyProtection="1">
      <alignment vertical="center"/>
    </xf>
    <xf numFmtId="0" fontId="12" fillId="0" borderId="0" xfId="7" applyFont="1" applyAlignment="1" applyProtection="1">
      <alignment horizontal="right"/>
    </xf>
    <xf numFmtId="177" fontId="12" fillId="0" borderId="0" xfId="7" applyNumberFormat="1" applyFont="1" applyAlignment="1" applyProtection="1">
      <alignment horizontal="left"/>
    </xf>
    <xf numFmtId="177" fontId="23" fillId="0" borderId="0" xfId="7" applyNumberFormat="1" applyFont="1" applyAlignment="1" applyProtection="1">
      <alignment horizontal="left"/>
    </xf>
    <xf numFmtId="0" fontId="23" fillId="0" borderId="0" xfId="7" applyFont="1" applyProtection="1"/>
    <xf numFmtId="0" fontId="9" fillId="0" borderId="0" xfId="7" applyFont="1" applyProtection="1"/>
    <xf numFmtId="0" fontId="24" fillId="0" borderId="0" xfId="7" applyFont="1" applyProtection="1"/>
    <xf numFmtId="0" fontId="16" fillId="0" borderId="0" xfId="0" applyFont="1" applyProtection="1"/>
    <xf numFmtId="0" fontId="23" fillId="9" borderId="16" xfId="7" applyFont="1" applyFill="1" applyBorder="1" applyAlignment="1" applyProtection="1">
      <alignment horizontal="center" wrapText="1"/>
    </xf>
    <xf numFmtId="0" fontId="23" fillId="9" borderId="17" xfId="7" applyFont="1" applyFill="1" applyBorder="1" applyAlignment="1" applyProtection="1">
      <alignment horizontal="center" wrapText="1"/>
    </xf>
    <xf numFmtId="0" fontId="23" fillId="9" borderId="0" xfId="7" applyFont="1" applyFill="1" applyBorder="1" applyAlignment="1" applyProtection="1">
      <alignment horizontal="center" wrapText="1"/>
    </xf>
    <xf numFmtId="0" fontId="23" fillId="9" borderId="18" xfId="7" applyFont="1" applyFill="1" applyBorder="1" applyAlignment="1" applyProtection="1">
      <alignment horizontal="center" wrapText="1"/>
    </xf>
    <xf numFmtId="0" fontId="23" fillId="9" borderId="19" xfId="7" applyFont="1" applyFill="1" applyBorder="1" applyAlignment="1" applyProtection="1">
      <alignment horizontal="center" wrapText="1"/>
    </xf>
    <xf numFmtId="0" fontId="23" fillId="9" borderId="20" xfId="7" applyFont="1" applyFill="1" applyBorder="1" applyAlignment="1" applyProtection="1">
      <alignment horizontal="center" vertical="top" wrapText="1"/>
    </xf>
    <xf numFmtId="0" fontId="23" fillId="9" borderId="21" xfId="7" applyFont="1" applyFill="1" applyBorder="1" applyAlignment="1" applyProtection="1">
      <alignment horizontal="center" vertical="top" wrapText="1"/>
    </xf>
    <xf numFmtId="0" fontId="23" fillId="9" borderId="22" xfId="7" applyFont="1" applyFill="1" applyBorder="1" applyAlignment="1" applyProtection="1">
      <alignment horizontal="center" vertical="top" wrapText="1"/>
    </xf>
    <xf numFmtId="0" fontId="23" fillId="9" borderId="15" xfId="7" applyFont="1" applyFill="1" applyBorder="1" applyAlignment="1" applyProtection="1">
      <alignment horizontal="center" vertical="top" wrapText="1"/>
    </xf>
    <xf numFmtId="0" fontId="23" fillId="9" borderId="22" xfId="7" applyFont="1" applyFill="1" applyBorder="1" applyAlignment="1" applyProtection="1">
      <alignment horizontal="center" vertical="top" shrinkToFit="1"/>
    </xf>
    <xf numFmtId="0" fontId="23" fillId="0" borderId="8" xfId="7" applyFont="1" applyBorder="1" applyAlignment="1" applyProtection="1">
      <alignment horizontal="center" vertical="center" textRotation="255" wrapText="1"/>
    </xf>
    <xf numFmtId="0" fontId="23" fillId="2" borderId="23" xfId="7" applyFont="1" applyFill="1" applyBorder="1" applyAlignment="1" applyProtection="1">
      <alignment vertical="center"/>
      <protection locked="0"/>
    </xf>
    <xf numFmtId="0" fontId="23" fillId="2" borderId="23" xfId="7" applyFont="1" applyFill="1" applyBorder="1" applyAlignment="1" applyProtection="1">
      <alignment horizontal="center" vertical="center"/>
      <protection locked="0"/>
    </xf>
    <xf numFmtId="9" fontId="23" fillId="2" borderId="23" xfId="1" applyFont="1" applyFill="1" applyBorder="1" applyAlignment="1" applyProtection="1">
      <alignment vertical="center"/>
      <protection locked="0"/>
    </xf>
    <xf numFmtId="38" fontId="23" fillId="2" borderId="8" xfId="2" applyFont="1" applyFill="1" applyBorder="1" applyAlignment="1" applyProtection="1">
      <alignment horizontal="right" vertical="center" shrinkToFit="1"/>
      <protection locked="0"/>
    </xf>
    <xf numFmtId="0" fontId="23" fillId="0" borderId="19" xfId="7" applyFont="1" applyBorder="1" applyAlignment="1" applyProtection="1">
      <alignment horizontal="center" vertical="center" textRotation="255" wrapText="1"/>
    </xf>
    <xf numFmtId="38" fontId="23" fillId="2" borderId="10" xfId="2" applyFont="1" applyFill="1" applyBorder="1" applyAlignment="1" applyProtection="1">
      <alignment horizontal="right" vertical="center" shrinkToFit="1"/>
      <protection locked="0"/>
    </xf>
    <xf numFmtId="38" fontId="23" fillId="2" borderId="24" xfId="2" applyFont="1" applyFill="1" applyBorder="1" applyAlignment="1" applyProtection="1">
      <alignment horizontal="right" vertical="center" shrinkToFit="1"/>
      <protection locked="0"/>
    </xf>
    <xf numFmtId="0" fontId="23" fillId="0" borderId="15" xfId="7" applyFont="1" applyBorder="1" applyAlignment="1" applyProtection="1">
      <alignment horizontal="center" vertical="center" textRotation="255" wrapText="1"/>
    </xf>
    <xf numFmtId="3" fontId="23" fillId="0" borderId="22" xfId="7" applyNumberFormat="1" applyFont="1" applyBorder="1" applyAlignment="1" applyProtection="1">
      <alignment vertical="center"/>
    </xf>
    <xf numFmtId="0" fontId="23" fillId="0" borderId="19" xfId="0" applyFont="1" applyBorder="1" applyAlignment="1" applyProtection="1">
      <alignment horizontal="center" vertical="center" textRotation="255" wrapText="1"/>
    </xf>
    <xf numFmtId="0" fontId="23" fillId="0" borderId="15" xfId="0" applyFont="1" applyBorder="1" applyAlignment="1" applyProtection="1">
      <alignment horizontal="center" vertical="center" textRotation="255" wrapText="1"/>
    </xf>
    <xf numFmtId="9" fontId="23" fillId="2" borderId="23" xfId="1" applyNumberFormat="1" applyFont="1" applyFill="1" applyBorder="1" applyAlignment="1" applyProtection="1">
      <alignment vertical="center"/>
      <protection locked="0"/>
    </xf>
    <xf numFmtId="9" fontId="23" fillId="2" borderId="24" xfId="1" applyFont="1" applyFill="1" applyBorder="1" applyAlignment="1" applyProtection="1">
      <alignment vertical="center"/>
      <protection locked="0"/>
    </xf>
    <xf numFmtId="0" fontId="23" fillId="0" borderId="3" xfId="7" applyFont="1" applyBorder="1" applyProtection="1"/>
    <xf numFmtId="3" fontId="23" fillId="0" borderId="2" xfId="7" applyNumberFormat="1" applyFont="1" applyBorder="1" applyAlignment="1" applyProtection="1">
      <alignment vertical="center"/>
    </xf>
    <xf numFmtId="3" fontId="23" fillId="0" borderId="0" xfId="7" applyNumberFormat="1" applyFont="1" applyAlignment="1" applyProtection="1">
      <alignment vertical="center"/>
    </xf>
    <xf numFmtId="38" fontId="23" fillId="0" borderId="0" xfId="2" applyFont="1" applyFill="1" applyBorder="1" applyAlignment="1" applyProtection="1">
      <alignment vertical="center"/>
    </xf>
    <xf numFmtId="0" fontId="23" fillId="9" borderId="28" xfId="7" applyFont="1" applyFill="1" applyBorder="1" applyAlignment="1" applyProtection="1">
      <alignment vertical="center"/>
    </xf>
    <xf numFmtId="0" fontId="23" fillId="9" borderId="29" xfId="7" applyFont="1" applyFill="1" applyBorder="1" applyAlignment="1" applyProtection="1">
      <alignment horizontal="center" vertical="center"/>
    </xf>
    <xf numFmtId="0" fontId="23" fillId="0" borderId="0" xfId="7" applyFont="1" applyBorder="1" applyAlignment="1" applyProtection="1">
      <alignment vertical="center"/>
    </xf>
    <xf numFmtId="0" fontId="23" fillId="0" borderId="0" xfId="7" applyFont="1" applyBorder="1" applyProtection="1"/>
    <xf numFmtId="0" fontId="23" fillId="9" borderId="3" xfId="7" applyFont="1" applyFill="1" applyBorder="1" applyAlignment="1" applyProtection="1">
      <alignment vertical="center"/>
    </xf>
    <xf numFmtId="0" fontId="23" fillId="9" borderId="30" xfId="7" applyFont="1" applyFill="1" applyBorder="1" applyAlignment="1" applyProtection="1">
      <alignment vertical="center"/>
    </xf>
    <xf numFmtId="0" fontId="23" fillId="9" borderId="2" xfId="7" applyFont="1" applyFill="1" applyBorder="1" applyAlignment="1" applyProtection="1">
      <alignment horizontal="center" vertical="center"/>
    </xf>
    <xf numFmtId="0" fontId="23" fillId="9" borderId="31" xfId="7" applyFont="1" applyFill="1" applyBorder="1" applyAlignment="1" applyProtection="1">
      <alignment vertical="center"/>
    </xf>
    <xf numFmtId="0" fontId="23" fillId="9" borderId="16" xfId="7" applyFont="1" applyFill="1" applyBorder="1" applyAlignment="1" applyProtection="1">
      <alignment vertical="center"/>
    </xf>
    <xf numFmtId="0" fontId="23" fillId="0" borderId="5" xfId="0" applyFont="1" applyBorder="1" applyAlignment="1" applyProtection="1">
      <alignment horizontal="center"/>
    </xf>
    <xf numFmtId="0" fontId="23" fillId="0" borderId="32" xfId="0" applyFont="1" applyBorder="1" applyProtection="1"/>
    <xf numFmtId="9" fontId="23" fillId="0" borderId="33" xfId="1" applyFont="1" applyFill="1" applyBorder="1" applyAlignment="1" applyProtection="1">
      <alignment horizontal="center"/>
    </xf>
    <xf numFmtId="0" fontId="23" fillId="0" borderId="0" xfId="0" applyFont="1" applyBorder="1" applyAlignment="1" applyProtection="1">
      <alignment vertical="center"/>
    </xf>
    <xf numFmtId="0" fontId="23" fillId="0" borderId="17" xfId="7" applyFont="1" applyBorder="1" applyProtection="1"/>
    <xf numFmtId="0" fontId="23" fillId="0" borderId="0" xfId="0" applyFont="1" applyBorder="1" applyAlignment="1" applyProtection="1">
      <alignment vertical="center" shrinkToFit="1"/>
    </xf>
    <xf numFmtId="38" fontId="23" fillId="0" borderId="19" xfId="2" applyFont="1" applyFill="1" applyBorder="1" applyAlignment="1" applyProtection="1">
      <alignment vertical="center"/>
    </xf>
    <xf numFmtId="0" fontId="23" fillId="0" borderId="31" xfId="0" applyFont="1" applyBorder="1" applyAlignment="1" applyProtection="1">
      <alignment horizontal="center"/>
    </xf>
    <xf numFmtId="178" fontId="23" fillId="0" borderId="16" xfId="0" applyNumberFormat="1" applyFont="1" applyBorder="1" applyProtection="1"/>
    <xf numFmtId="0" fontId="23" fillId="0" borderId="13" xfId="0" applyFont="1" applyBorder="1" applyAlignment="1" applyProtection="1">
      <alignment horizontal="center"/>
    </xf>
    <xf numFmtId="0" fontId="23" fillId="0" borderId="34" xfId="0" applyFont="1" applyBorder="1" applyProtection="1"/>
    <xf numFmtId="9" fontId="23" fillId="0" borderId="35" xfId="1" applyFont="1" applyFill="1" applyBorder="1" applyAlignment="1" applyProtection="1">
      <alignment horizontal="center"/>
    </xf>
    <xf numFmtId="9" fontId="23" fillId="0" borderId="19" xfId="1" applyFont="1" applyFill="1" applyBorder="1" applyAlignment="1" applyProtection="1">
      <alignment horizontal="right" vertical="center"/>
    </xf>
    <xf numFmtId="0" fontId="23" fillId="0" borderId="17" xfId="0" applyFont="1" applyBorder="1" applyAlignment="1" applyProtection="1">
      <alignment horizontal="center"/>
    </xf>
    <xf numFmtId="178" fontId="23" fillId="0" borderId="18" xfId="0" applyNumberFormat="1" applyFont="1" applyBorder="1" applyProtection="1"/>
    <xf numFmtId="0" fontId="23" fillId="0" borderId="20" xfId="0" applyFont="1" applyBorder="1" applyAlignment="1" applyProtection="1">
      <alignment horizontal="center"/>
    </xf>
    <xf numFmtId="178" fontId="23" fillId="0" borderId="22" xfId="0" applyNumberFormat="1" applyFont="1" applyBorder="1" applyProtection="1"/>
    <xf numFmtId="9" fontId="23" fillId="0" borderId="19" xfId="0" applyNumberFormat="1" applyFont="1" applyFill="1" applyBorder="1" applyAlignment="1" applyProtection="1">
      <alignment vertical="center"/>
    </xf>
    <xf numFmtId="0" fontId="23" fillId="0" borderId="20" xfId="7" applyFont="1" applyBorder="1" applyProtection="1"/>
    <xf numFmtId="0" fontId="23" fillId="0" borderId="21" xfId="0" applyFont="1" applyBorder="1" applyAlignment="1" applyProtection="1">
      <alignment vertical="center"/>
    </xf>
    <xf numFmtId="38" fontId="23" fillId="0" borderId="15" xfId="2" applyFont="1" applyFill="1" applyBorder="1" applyAlignment="1" applyProtection="1">
      <alignment vertical="center"/>
    </xf>
    <xf numFmtId="0" fontId="9" fillId="0" borderId="0" xfId="7" applyFont="1" applyAlignment="1" applyProtection="1">
      <alignment horizontal="center"/>
    </xf>
    <xf numFmtId="0" fontId="24" fillId="0" borderId="0" xfId="3" applyNumberFormat="1" applyFont="1" applyBorder="1" applyAlignment="1" applyProtection="1">
      <alignment horizontal="right"/>
    </xf>
    <xf numFmtId="181" fontId="23" fillId="2" borderId="42" xfId="3" applyNumberFormat="1" applyFont="1" applyFill="1" applyBorder="1" applyAlignment="1" applyProtection="1">
      <alignment vertical="center"/>
      <protection locked="0"/>
    </xf>
    <xf numFmtId="0" fontId="9" fillId="3" borderId="42" xfId="3" applyNumberFormat="1" applyFont="1" applyFill="1" applyBorder="1" applyAlignment="1" applyProtection="1">
      <alignment horizontal="center" vertical="center"/>
      <protection locked="0"/>
    </xf>
    <xf numFmtId="3" fontId="23" fillId="2" borderId="42" xfId="3" applyNumberFormat="1" applyFont="1" applyFill="1" applyBorder="1" applyAlignment="1" applyProtection="1">
      <alignment horizontal="center" vertical="center"/>
      <protection locked="0"/>
    </xf>
    <xf numFmtId="9" fontId="23" fillId="2" borderId="42" xfId="1" applyNumberFormat="1" applyFont="1" applyFill="1" applyBorder="1" applyAlignment="1" applyProtection="1">
      <alignment horizontal="center" vertical="center"/>
      <protection locked="0"/>
    </xf>
    <xf numFmtId="38" fontId="23" fillId="2" borderId="42" xfId="2" applyFont="1" applyFill="1" applyBorder="1" applyAlignment="1" applyProtection="1">
      <alignment vertical="center"/>
      <protection locked="0"/>
    </xf>
    <xf numFmtId="38" fontId="23" fillId="3" borderId="42" xfId="2" applyFont="1" applyFill="1" applyBorder="1" applyAlignment="1" applyProtection="1">
      <alignment horizontal="center" vertical="center"/>
      <protection locked="0"/>
    </xf>
    <xf numFmtId="38" fontId="23" fillId="11" borderId="42" xfId="2" applyFont="1" applyFill="1" applyBorder="1" applyAlignment="1" applyProtection="1">
      <alignment vertical="center"/>
      <protection locked="0"/>
    </xf>
    <xf numFmtId="38" fontId="23" fillId="2" borderId="44" xfId="2" applyFont="1" applyFill="1" applyBorder="1" applyAlignment="1" applyProtection="1">
      <alignment vertical="center"/>
      <protection locked="0"/>
    </xf>
    <xf numFmtId="9" fontId="23" fillId="2" borderId="41" xfId="1" applyFont="1" applyFill="1" applyBorder="1" applyAlignment="1" applyProtection="1">
      <alignment vertical="center"/>
      <protection locked="0"/>
    </xf>
    <xf numFmtId="9" fontId="23" fillId="2" borderId="42" xfId="1" applyFont="1" applyFill="1" applyBorder="1" applyAlignment="1" applyProtection="1">
      <alignment vertical="center"/>
      <protection locked="0"/>
    </xf>
    <xf numFmtId="9" fontId="23" fillId="2" borderId="45" xfId="1" applyFont="1" applyFill="1" applyBorder="1" applyAlignment="1" applyProtection="1">
      <alignment vertical="center"/>
      <protection locked="0"/>
    </xf>
    <xf numFmtId="181" fontId="23" fillId="7" borderId="46" xfId="3" applyNumberFormat="1" applyFont="1" applyFill="1" applyBorder="1" applyAlignment="1" applyProtection="1">
      <alignment vertical="center"/>
      <protection locked="0"/>
    </xf>
    <xf numFmtId="181" fontId="23" fillId="7" borderId="42" xfId="3" applyNumberFormat="1" applyFont="1" applyFill="1" applyBorder="1" applyAlignment="1" applyProtection="1">
      <alignment vertical="center"/>
      <protection locked="0"/>
    </xf>
    <xf numFmtId="181" fontId="23" fillId="7" borderId="44" xfId="3" applyNumberFormat="1" applyFont="1" applyFill="1" applyBorder="1" applyAlignment="1" applyProtection="1">
      <alignment vertical="center"/>
      <protection locked="0"/>
    </xf>
    <xf numFmtId="181" fontId="23" fillId="2" borderId="47" xfId="3" applyNumberFormat="1" applyFont="1" applyFill="1" applyBorder="1" applyAlignment="1" applyProtection="1">
      <alignment vertical="center"/>
      <protection locked="0"/>
    </xf>
    <xf numFmtId="0" fontId="9" fillId="3" borderId="47" xfId="3" applyNumberFormat="1" applyFont="1" applyFill="1" applyBorder="1" applyAlignment="1" applyProtection="1">
      <alignment horizontal="center" vertical="center"/>
      <protection locked="0"/>
    </xf>
    <xf numFmtId="3" fontId="23" fillId="2" borderId="47" xfId="3" applyNumberFormat="1" applyFont="1" applyFill="1" applyBorder="1" applyAlignment="1" applyProtection="1">
      <alignment horizontal="center" vertical="center"/>
      <protection locked="0"/>
    </xf>
    <xf numFmtId="9" fontId="23" fillId="2" borderId="47" xfId="1" applyNumberFormat="1" applyFont="1" applyFill="1" applyBorder="1" applyAlignment="1" applyProtection="1">
      <alignment horizontal="center" vertical="center"/>
      <protection locked="0"/>
    </xf>
    <xf numFmtId="38" fontId="23" fillId="2" borderId="47" xfId="2" applyFont="1" applyFill="1" applyBorder="1" applyAlignment="1" applyProtection="1">
      <alignment vertical="center"/>
      <protection locked="0"/>
    </xf>
    <xf numFmtId="38" fontId="23" fillId="3" borderId="47" xfId="2" applyFont="1" applyFill="1" applyBorder="1" applyAlignment="1" applyProtection="1">
      <alignment horizontal="center" vertical="center"/>
      <protection locked="0"/>
    </xf>
    <xf numFmtId="38" fontId="23" fillId="11" borderId="47" xfId="2" applyFont="1" applyFill="1" applyBorder="1" applyAlignment="1" applyProtection="1">
      <alignment vertical="center"/>
      <protection locked="0"/>
    </xf>
    <xf numFmtId="38" fontId="23" fillId="2" borderId="49" xfId="2" applyFont="1" applyFill="1" applyBorder="1" applyAlignment="1" applyProtection="1">
      <alignment vertical="center"/>
      <protection locked="0"/>
    </xf>
    <xf numFmtId="9" fontId="23" fillId="2" borderId="48" xfId="1" applyFont="1" applyFill="1" applyBorder="1" applyAlignment="1" applyProtection="1">
      <alignment vertical="center"/>
      <protection locked="0"/>
    </xf>
    <xf numFmtId="9" fontId="23" fillId="2" borderId="47" xfId="1" applyFont="1" applyFill="1" applyBorder="1" applyAlignment="1" applyProtection="1">
      <alignment vertical="center"/>
      <protection locked="0"/>
    </xf>
    <xf numFmtId="9" fontId="23" fillId="2" borderId="50" xfId="1" applyFont="1" applyFill="1" applyBorder="1" applyAlignment="1" applyProtection="1">
      <alignment vertical="center"/>
      <protection locked="0"/>
    </xf>
    <xf numFmtId="181" fontId="23" fillId="7" borderId="51" xfId="3" applyNumberFormat="1" applyFont="1" applyFill="1" applyBorder="1" applyAlignment="1" applyProtection="1">
      <alignment vertical="center"/>
      <protection locked="0"/>
    </xf>
    <xf numFmtId="181" fontId="23" fillId="7" borderId="47" xfId="3" applyNumberFormat="1" applyFont="1" applyFill="1" applyBorder="1" applyAlignment="1" applyProtection="1">
      <alignment vertical="center"/>
      <protection locked="0"/>
    </xf>
    <xf numFmtId="181" fontId="23" fillId="7" borderId="49" xfId="3" applyNumberFormat="1" applyFont="1" applyFill="1" applyBorder="1" applyAlignment="1" applyProtection="1">
      <alignment vertical="center"/>
      <protection locked="0"/>
    </xf>
    <xf numFmtId="0" fontId="9" fillId="3" borderId="47" xfId="3" applyFont="1" applyFill="1" applyBorder="1" applyAlignment="1" applyProtection="1">
      <alignment horizontal="center" vertical="center"/>
      <protection locked="0"/>
    </xf>
    <xf numFmtId="182" fontId="9" fillId="3" borderId="47" xfId="3" applyNumberFormat="1" applyFont="1" applyFill="1" applyBorder="1" applyAlignment="1" applyProtection="1">
      <alignment horizontal="center" vertical="center"/>
      <protection locked="0"/>
    </xf>
    <xf numFmtId="1" fontId="23" fillId="2" borderId="47" xfId="3" applyNumberFormat="1" applyFont="1" applyFill="1" applyBorder="1" applyAlignment="1" applyProtection="1">
      <alignment horizontal="center" vertical="center"/>
      <protection locked="0"/>
    </xf>
    <xf numFmtId="0" fontId="23" fillId="0" borderId="0" xfId="3" applyFont="1" applyProtection="1"/>
    <xf numFmtId="0" fontId="15" fillId="0" borderId="0" xfId="3" applyFont="1" applyProtection="1"/>
    <xf numFmtId="0" fontId="23" fillId="2" borderId="24" xfId="2" applyNumberFormat="1" applyFont="1" applyFill="1" applyBorder="1" applyAlignment="1" applyProtection="1">
      <alignment horizontal="right" vertical="center" shrinkToFit="1"/>
      <protection locked="0"/>
    </xf>
    <xf numFmtId="3" fontId="23" fillId="2" borderId="24" xfId="2" applyNumberFormat="1" applyFont="1" applyFill="1" applyBorder="1" applyAlignment="1" applyProtection="1">
      <alignment horizontal="right" vertical="center" shrinkToFit="1"/>
      <protection locked="0"/>
    </xf>
    <xf numFmtId="0" fontId="16" fillId="0" borderId="0" xfId="0" applyFont="1" applyAlignment="1" applyProtection="1">
      <alignment shrinkToFit="1"/>
    </xf>
    <xf numFmtId="38" fontId="9" fillId="0" borderId="0" xfId="2" applyFont="1" applyFill="1" applyBorder="1" applyAlignment="1" applyProtection="1">
      <alignment shrinkToFit="1"/>
    </xf>
    <xf numFmtId="0" fontId="23" fillId="9" borderId="8" xfId="7" applyFont="1" applyFill="1" applyBorder="1" applyAlignment="1" applyProtection="1">
      <alignment horizontal="center" wrapText="1"/>
    </xf>
    <xf numFmtId="0" fontId="25" fillId="3" borderId="47" xfId="3" applyFont="1" applyFill="1" applyBorder="1" applyAlignment="1" applyProtection="1">
      <alignment horizontal="center" vertical="center"/>
      <protection locked="0"/>
    </xf>
    <xf numFmtId="0" fontId="23" fillId="9" borderId="16" xfId="7" applyFont="1" applyFill="1" applyBorder="1" applyAlignment="1" applyProtection="1">
      <alignment horizontal="center" vertical="center"/>
    </xf>
    <xf numFmtId="0" fontId="23" fillId="0" borderId="31" xfId="0" applyFont="1" applyFill="1" applyBorder="1" applyProtection="1"/>
    <xf numFmtId="38" fontId="23" fillId="0" borderId="16" xfId="2" applyFont="1" applyFill="1" applyBorder="1" applyAlignment="1" applyProtection="1"/>
    <xf numFmtId="0" fontId="23" fillId="0" borderId="0" xfId="0" applyFont="1" applyFill="1" applyBorder="1" applyProtection="1"/>
    <xf numFmtId="9" fontId="23" fillId="0" borderId="18" xfId="0" applyNumberFormat="1" applyFont="1" applyFill="1" applyBorder="1" applyProtection="1"/>
    <xf numFmtId="38" fontId="23" fillId="0" borderId="18" xfId="2" applyFont="1" applyFill="1" applyBorder="1" applyAlignment="1" applyProtection="1"/>
    <xf numFmtId="38" fontId="23" fillId="0" borderId="18" xfId="2" applyFont="1" applyFill="1" applyBorder="1" applyAlignment="1" applyProtection="1">
      <alignment vertical="center"/>
    </xf>
    <xf numFmtId="0" fontId="23" fillId="0" borderId="21" xfId="0" applyFont="1" applyFill="1" applyBorder="1" applyProtection="1"/>
    <xf numFmtId="38" fontId="23" fillId="0" borderId="22" xfId="2" applyFont="1" applyFill="1" applyBorder="1" applyAlignment="1" applyProtection="1">
      <alignment vertical="center"/>
    </xf>
    <xf numFmtId="181" fontId="23" fillId="2" borderId="84" xfId="3" applyNumberFormat="1" applyFont="1" applyFill="1" applyBorder="1" applyAlignment="1" applyProtection="1">
      <alignment vertical="center"/>
      <protection locked="0"/>
    </xf>
    <xf numFmtId="0" fontId="9" fillId="3" borderId="84" xfId="3" applyNumberFormat="1" applyFont="1" applyFill="1" applyBorder="1" applyAlignment="1" applyProtection="1">
      <alignment horizontal="center" vertical="center"/>
      <protection locked="0"/>
    </xf>
    <xf numFmtId="3" fontId="23" fillId="2" borderId="84" xfId="3" applyNumberFormat="1" applyFont="1" applyFill="1" applyBorder="1" applyAlignment="1" applyProtection="1">
      <alignment horizontal="center" vertical="center"/>
      <protection locked="0"/>
    </xf>
    <xf numFmtId="9" fontId="23" fillId="2" borderId="84" xfId="1" applyNumberFormat="1" applyFont="1" applyFill="1" applyBorder="1" applyAlignment="1" applyProtection="1">
      <alignment horizontal="center" vertical="center"/>
      <protection locked="0"/>
    </xf>
    <xf numFmtId="38" fontId="23" fillId="2" borderId="84" xfId="2" applyFont="1" applyFill="1" applyBorder="1" applyAlignment="1" applyProtection="1">
      <alignment vertical="center"/>
      <protection locked="0"/>
    </xf>
    <xf numFmtId="38" fontId="23" fillId="3" borderId="84" xfId="2" applyFont="1" applyFill="1" applyBorder="1" applyAlignment="1" applyProtection="1">
      <alignment horizontal="center" vertical="center"/>
      <protection locked="0"/>
    </xf>
    <xf numFmtId="38" fontId="23" fillId="11" borderId="84" xfId="2" applyFont="1" applyFill="1" applyBorder="1" applyAlignment="1" applyProtection="1">
      <alignment vertical="center"/>
      <protection locked="0"/>
    </xf>
    <xf numFmtId="38" fontId="23" fillId="2" borderId="85" xfId="2" applyFont="1" applyFill="1" applyBorder="1" applyAlignment="1" applyProtection="1">
      <alignment vertical="center"/>
      <protection locked="0"/>
    </xf>
    <xf numFmtId="9" fontId="23" fillId="2" borderId="86" xfId="1" applyFont="1" applyFill="1" applyBorder="1" applyAlignment="1" applyProtection="1">
      <alignment vertical="center"/>
      <protection locked="0"/>
    </xf>
    <xf numFmtId="9" fontId="23" fillId="2" borderId="84" xfId="1" applyFont="1" applyFill="1" applyBorder="1" applyAlignment="1" applyProtection="1">
      <alignment vertical="center"/>
      <protection locked="0"/>
    </xf>
    <xf numFmtId="9" fontId="23" fillId="2" borderId="87" xfId="1" applyFont="1" applyFill="1" applyBorder="1" applyAlignment="1" applyProtection="1">
      <alignment vertical="center"/>
      <protection locked="0"/>
    </xf>
    <xf numFmtId="181" fontId="23" fillId="7" borderId="88" xfId="3" applyNumberFormat="1" applyFont="1" applyFill="1" applyBorder="1" applyAlignment="1" applyProtection="1">
      <alignment vertical="center"/>
      <protection locked="0"/>
    </xf>
    <xf numFmtId="181" fontId="23" fillId="7" borderId="84" xfId="3" applyNumberFormat="1" applyFont="1" applyFill="1" applyBorder="1" applyAlignment="1" applyProtection="1">
      <alignment vertical="center"/>
      <protection locked="0"/>
    </xf>
    <xf numFmtId="181" fontId="23" fillId="7" borderId="85" xfId="3" applyNumberFormat="1" applyFont="1" applyFill="1" applyBorder="1" applyAlignment="1" applyProtection="1">
      <alignment vertical="center"/>
      <protection locked="0"/>
    </xf>
    <xf numFmtId="182" fontId="24" fillId="2" borderId="89" xfId="3" applyNumberFormat="1" applyFont="1" applyFill="1" applyBorder="1" applyAlignment="1" applyProtection="1">
      <alignment vertical="center"/>
      <protection locked="0"/>
    </xf>
    <xf numFmtId="182" fontId="24" fillId="2" borderId="91" xfId="3" applyNumberFormat="1" applyFont="1" applyFill="1" applyBorder="1" applyAlignment="1" applyProtection="1">
      <alignment vertical="center"/>
      <protection locked="0"/>
    </xf>
    <xf numFmtId="181" fontId="23" fillId="15" borderId="93" xfId="3" applyNumberFormat="1" applyFont="1" applyFill="1" applyBorder="1" applyAlignment="1" applyProtection="1">
      <alignment vertical="center"/>
    </xf>
    <xf numFmtId="181" fontId="23" fillId="2" borderId="99" xfId="3" applyNumberFormat="1" applyFont="1" applyFill="1" applyBorder="1" applyAlignment="1" applyProtection="1">
      <alignment vertical="center"/>
      <protection locked="0"/>
    </xf>
    <xf numFmtId="0" fontId="9" fillId="3" borderId="99" xfId="3" applyNumberFormat="1" applyFont="1" applyFill="1" applyBorder="1" applyAlignment="1" applyProtection="1">
      <alignment horizontal="center" vertical="center"/>
      <protection locked="0"/>
    </xf>
    <xf numFmtId="3" fontId="23" fillId="2" borderId="99" xfId="3" applyNumberFormat="1" applyFont="1" applyFill="1" applyBorder="1" applyAlignment="1" applyProtection="1">
      <alignment horizontal="center" vertical="center"/>
      <protection locked="0"/>
    </xf>
    <xf numFmtId="9" fontId="23" fillId="2" borderId="99" xfId="1" applyNumberFormat="1" applyFont="1" applyFill="1" applyBorder="1" applyAlignment="1" applyProtection="1">
      <alignment horizontal="center" vertical="center"/>
      <protection locked="0"/>
    </xf>
    <xf numFmtId="38" fontId="23" fillId="2" borderId="99" xfId="2" applyFont="1" applyFill="1" applyBorder="1" applyAlignment="1" applyProtection="1">
      <alignment vertical="center"/>
      <protection locked="0"/>
    </xf>
    <xf numFmtId="38" fontId="23" fillId="3" borderId="99" xfId="2" applyFont="1" applyFill="1" applyBorder="1" applyAlignment="1" applyProtection="1">
      <alignment horizontal="center" vertical="center"/>
      <protection locked="0"/>
    </xf>
    <xf numFmtId="38" fontId="23" fillId="11" borderId="99" xfId="2" applyFont="1" applyFill="1" applyBorder="1" applyAlignment="1" applyProtection="1">
      <alignment vertical="center"/>
      <protection locked="0"/>
    </xf>
    <xf numFmtId="38" fontId="23" fillId="2" borderId="100" xfId="2" applyFont="1" applyFill="1" applyBorder="1" applyAlignment="1" applyProtection="1">
      <alignment vertical="center"/>
      <protection locked="0"/>
    </xf>
    <xf numFmtId="9" fontId="23" fillId="2" borderId="101" xfId="1" applyFont="1" applyFill="1" applyBorder="1" applyAlignment="1" applyProtection="1">
      <alignment vertical="center"/>
      <protection locked="0"/>
    </xf>
    <xf numFmtId="9" fontId="23" fillId="2" borderId="99" xfId="1" applyFont="1" applyFill="1" applyBorder="1" applyAlignment="1" applyProtection="1">
      <alignment vertical="center"/>
      <protection locked="0"/>
    </xf>
    <xf numFmtId="9" fontId="23" fillId="2" borderId="102" xfId="1" applyFont="1" applyFill="1" applyBorder="1" applyAlignment="1" applyProtection="1">
      <alignment vertical="center"/>
      <protection locked="0"/>
    </xf>
    <xf numFmtId="181" fontId="23" fillId="7" borderId="103" xfId="3" applyNumberFormat="1" applyFont="1" applyFill="1" applyBorder="1" applyAlignment="1" applyProtection="1">
      <alignment vertical="center"/>
      <protection locked="0"/>
    </xf>
    <xf numFmtId="181" fontId="23" fillId="7" borderId="99" xfId="3" applyNumberFormat="1" applyFont="1" applyFill="1" applyBorder="1" applyAlignment="1" applyProtection="1">
      <alignment vertical="center"/>
      <protection locked="0"/>
    </xf>
    <xf numFmtId="181" fontId="23" fillId="7" borderId="100" xfId="3" applyNumberFormat="1" applyFont="1" applyFill="1" applyBorder="1" applyAlignment="1" applyProtection="1">
      <alignment vertical="center"/>
      <protection locked="0"/>
    </xf>
    <xf numFmtId="182" fontId="24" fillId="2" borderId="104" xfId="3" applyNumberFormat="1" applyFont="1" applyFill="1" applyBorder="1" applyAlignment="1" applyProtection="1">
      <alignment vertical="center"/>
      <protection locked="0"/>
    </xf>
    <xf numFmtId="182" fontId="9" fillId="3" borderId="99" xfId="3" applyNumberFormat="1" applyFont="1" applyFill="1" applyBorder="1" applyAlignment="1" applyProtection="1">
      <alignment horizontal="center" vertical="center"/>
      <protection locked="0"/>
    </xf>
    <xf numFmtId="182" fontId="24" fillId="2" borderId="112" xfId="3" applyNumberFormat="1" applyFont="1" applyFill="1" applyBorder="1" applyAlignment="1" applyProtection="1">
      <alignment vertical="center"/>
      <protection locked="0"/>
    </xf>
    <xf numFmtId="182" fontId="9" fillId="3" borderId="84" xfId="3" applyNumberFormat="1" applyFont="1" applyFill="1" applyBorder="1" applyAlignment="1" applyProtection="1">
      <alignment horizontal="center" vertical="center"/>
      <protection locked="0"/>
    </xf>
    <xf numFmtId="0" fontId="24" fillId="2" borderId="89" xfId="3" applyNumberFormat="1" applyFont="1" applyFill="1" applyBorder="1" applyAlignment="1" applyProtection="1">
      <alignment vertical="center"/>
      <protection locked="0"/>
    </xf>
    <xf numFmtId="0" fontId="24" fillId="2" borderId="112" xfId="3" applyNumberFormat="1" applyFont="1" applyFill="1" applyBorder="1" applyAlignment="1" applyProtection="1">
      <alignment vertical="center"/>
      <protection locked="0"/>
    </xf>
    <xf numFmtId="0" fontId="24" fillId="2" borderId="104" xfId="3" applyNumberFormat="1" applyFont="1" applyFill="1" applyBorder="1" applyAlignment="1" applyProtection="1">
      <alignment vertical="center"/>
      <protection locked="0"/>
    </xf>
    <xf numFmtId="0" fontId="9" fillId="3" borderId="99" xfId="3" applyFont="1" applyFill="1" applyBorder="1" applyAlignment="1" applyProtection="1">
      <alignment horizontal="center" vertical="center"/>
      <protection locked="0"/>
    </xf>
    <xf numFmtId="0" fontId="0" fillId="13" borderId="2" xfId="0" applyFill="1" applyBorder="1" applyAlignment="1" applyProtection="1">
      <alignment vertical="center"/>
      <protection locked="0"/>
    </xf>
    <xf numFmtId="40" fontId="0" fillId="0" borderId="114" xfId="11" applyNumberFormat="1" applyFont="1" applyFill="1" applyBorder="1" applyAlignment="1" applyProtection="1"/>
    <xf numFmtId="40" fontId="0" fillId="12" borderId="2" xfId="2" applyNumberFormat="1" applyFont="1" applyFill="1" applyBorder="1" applyAlignment="1" applyProtection="1">
      <protection locked="0"/>
    </xf>
    <xf numFmtId="40" fontId="0" fillId="12" borderId="74" xfId="2" applyNumberFormat="1" applyFont="1" applyFill="1" applyBorder="1" applyAlignment="1" applyProtection="1">
      <protection locked="0"/>
    </xf>
    <xf numFmtId="0" fontId="16" fillId="0" borderId="0" xfId="12" applyFont="1"/>
    <xf numFmtId="0" fontId="3" fillId="0" borderId="0" xfId="13" applyFont="1"/>
    <xf numFmtId="0" fontId="16" fillId="0" borderId="0" xfId="12"/>
    <xf numFmtId="0" fontId="33" fillId="0" borderId="0" xfId="12" applyFont="1" applyAlignment="1">
      <alignment shrinkToFit="1"/>
    </xf>
    <xf numFmtId="0" fontId="33" fillId="0" borderId="0" xfId="12" applyFont="1"/>
    <xf numFmtId="0" fontId="10" fillId="0" borderId="0" xfId="12" applyFont="1"/>
    <xf numFmtId="0" fontId="16" fillId="0" borderId="116" xfId="12" applyBorder="1"/>
    <xf numFmtId="0" fontId="16" fillId="0" borderId="116" xfId="12" applyFont="1" applyBorder="1"/>
    <xf numFmtId="0" fontId="10" fillId="0" borderId="116" xfId="12" applyFont="1" applyBorder="1"/>
    <xf numFmtId="0" fontId="16" fillId="0" borderId="0" xfId="12" applyFill="1" applyBorder="1"/>
    <xf numFmtId="191" fontId="16" fillId="19" borderId="116" xfId="12" applyNumberFormat="1" applyFont="1" applyFill="1" applyBorder="1" applyProtection="1">
      <protection locked="0"/>
    </xf>
    <xf numFmtId="0" fontId="16" fillId="19" borderId="116" xfId="12" applyFill="1" applyBorder="1" applyProtection="1">
      <protection locked="0"/>
    </xf>
    <xf numFmtId="0" fontId="3" fillId="0" borderId="116" xfId="12" applyFont="1" applyBorder="1"/>
    <xf numFmtId="192" fontId="16" fillId="19" borderId="116" xfId="12" applyNumberFormat="1" applyFill="1" applyBorder="1" applyProtection="1">
      <protection locked="0"/>
    </xf>
    <xf numFmtId="193" fontId="16" fillId="19" borderId="116" xfId="12" applyNumberFormat="1" applyFill="1" applyBorder="1" applyAlignment="1" applyProtection="1">
      <protection locked="0"/>
    </xf>
    <xf numFmtId="191" fontId="16" fillId="20" borderId="116" xfId="12" applyNumberFormat="1" applyFill="1" applyBorder="1" applyProtection="1"/>
    <xf numFmtId="0" fontId="16" fillId="0" borderId="0" xfId="12" applyFill="1" applyBorder="1" applyProtection="1">
      <protection locked="0"/>
    </xf>
    <xf numFmtId="0" fontId="16" fillId="0" borderId="0" xfId="12" applyFill="1" applyBorder="1" applyAlignment="1">
      <alignment horizontal="center"/>
    </xf>
    <xf numFmtId="0" fontId="16" fillId="0" borderId="0" xfId="12" applyBorder="1"/>
    <xf numFmtId="191" fontId="16" fillId="20" borderId="116" xfId="12" applyNumberFormat="1" applyFill="1" applyBorder="1"/>
    <xf numFmtId="0" fontId="16" fillId="0" borderId="0" xfId="12" applyFont="1" applyFill="1" applyBorder="1"/>
    <xf numFmtId="0" fontId="33" fillId="0" borderId="0" xfId="12" applyFont="1" applyFill="1" applyBorder="1" applyProtection="1">
      <protection locked="0"/>
    </xf>
    <xf numFmtId="0" fontId="3" fillId="0" borderId="0" xfId="12" applyFont="1" applyBorder="1" applyAlignment="1">
      <alignment horizontal="center"/>
    </xf>
    <xf numFmtId="0" fontId="33" fillId="0" borderId="0" xfId="12" applyFont="1" applyBorder="1" applyAlignment="1" applyProtection="1">
      <alignment horizontal="center"/>
      <protection locked="0"/>
    </xf>
    <xf numFmtId="0" fontId="0" fillId="0" borderId="116" xfId="0" applyBorder="1" applyAlignment="1">
      <alignment horizontal="center"/>
    </xf>
    <xf numFmtId="0" fontId="0" fillId="12" borderId="116" xfId="0" applyFill="1" applyBorder="1"/>
    <xf numFmtId="0" fontId="0" fillId="0" borderId="116" xfId="0" applyBorder="1"/>
    <xf numFmtId="0" fontId="0" fillId="7" borderId="116" xfId="0" applyFill="1" applyBorder="1"/>
    <xf numFmtId="0" fontId="0" fillId="21" borderId="116" xfId="0" applyFill="1" applyBorder="1"/>
    <xf numFmtId="0" fontId="0" fillId="22" borderId="116" xfId="0" applyFill="1" applyBorder="1"/>
    <xf numFmtId="0" fontId="0" fillId="0" borderId="0" xfId="0" applyFont="1"/>
    <xf numFmtId="197" fontId="0" fillId="0" borderId="0" xfId="0" applyNumberFormat="1"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32" fillId="0" borderId="0" xfId="0" applyFont="1"/>
    <xf numFmtId="38" fontId="23" fillId="0" borderId="0" xfId="6" applyNumberFormat="1" applyFont="1" applyBorder="1" applyAlignment="1" applyProtection="1">
      <alignment horizontal="left" vertical="center" shrinkToFit="1"/>
    </xf>
    <xf numFmtId="0" fontId="23" fillId="0" borderId="11" xfId="6" applyFont="1" applyBorder="1" applyAlignment="1" applyProtection="1">
      <alignment vertical="center" shrinkToFit="1"/>
    </xf>
    <xf numFmtId="185" fontId="16" fillId="0" borderId="139" xfId="2" applyNumberFormat="1" applyFont="1" applyFill="1" applyBorder="1" applyAlignment="1" applyProtection="1">
      <alignment vertical="center"/>
    </xf>
    <xf numFmtId="185" fontId="16" fillId="0" borderId="140" xfId="2" applyNumberFormat="1" applyFont="1" applyFill="1" applyBorder="1" applyAlignment="1" applyProtection="1">
      <alignment vertical="center"/>
    </xf>
    <xf numFmtId="0" fontId="16" fillId="0" borderId="142" xfId="6" applyFont="1" applyBorder="1" applyAlignment="1" applyProtection="1">
      <alignment horizontal="justify" vertical="center" indent="1" shrinkToFit="1"/>
    </xf>
    <xf numFmtId="0" fontId="0" fillId="0" borderId="142" xfId="6" applyFont="1" applyBorder="1" applyAlignment="1" applyProtection="1">
      <alignment horizontal="justify" vertical="center" indent="1" shrinkToFit="1"/>
    </xf>
    <xf numFmtId="185" fontId="16" fillId="0" borderId="143" xfId="2" applyNumberFormat="1" applyFont="1" applyFill="1" applyBorder="1" applyAlignment="1" applyProtection="1">
      <alignment vertical="center"/>
    </xf>
    <xf numFmtId="185" fontId="16" fillId="0" borderId="144" xfId="2" applyNumberFormat="1" applyFont="1" applyFill="1" applyBorder="1" applyAlignment="1" applyProtection="1">
      <alignment vertical="center"/>
    </xf>
    <xf numFmtId="185" fontId="16" fillId="0" borderId="145" xfId="2" applyNumberFormat="1" applyFont="1" applyFill="1" applyBorder="1" applyAlignment="1" applyProtection="1">
      <alignment vertical="center"/>
    </xf>
    <xf numFmtId="185" fontId="16" fillId="0" borderId="146" xfId="2" applyNumberFormat="1" applyFont="1" applyFill="1" applyBorder="1" applyAlignment="1" applyProtection="1">
      <alignment vertical="center"/>
    </xf>
    <xf numFmtId="185" fontId="16" fillId="0" borderId="147" xfId="2" applyNumberFormat="1" applyFont="1" applyFill="1" applyBorder="1" applyAlignment="1" applyProtection="1">
      <alignment vertical="center"/>
    </xf>
    <xf numFmtId="185" fontId="16" fillId="0" borderId="148" xfId="2" applyNumberFormat="1" applyFont="1" applyFill="1" applyBorder="1" applyAlignment="1" applyProtection="1">
      <alignment vertical="center"/>
    </xf>
    <xf numFmtId="0" fontId="0" fillId="8" borderId="2" xfId="0" applyFill="1" applyBorder="1" applyAlignment="1">
      <alignment horizontal="center" vertical="center"/>
    </xf>
    <xf numFmtId="187" fontId="23" fillId="0" borderId="63" xfId="6" applyNumberFormat="1" applyFont="1" applyBorder="1" applyAlignment="1" applyProtection="1">
      <alignment vertical="center" shrinkToFit="1"/>
    </xf>
    <xf numFmtId="187" fontId="23" fillId="0" borderId="11" xfId="6" applyNumberFormat="1" applyFont="1" applyBorder="1" applyAlignment="1" applyProtection="1">
      <alignment vertical="center" shrinkToFit="1"/>
    </xf>
    <xf numFmtId="3" fontId="23" fillId="12" borderId="23" xfId="7" applyNumberFormat="1" applyFont="1" applyFill="1" applyBorder="1" applyAlignment="1" applyProtection="1">
      <alignment vertical="center" shrinkToFit="1"/>
      <protection locked="0"/>
    </xf>
    <xf numFmtId="3" fontId="23" fillId="12" borderId="23" xfId="7" applyNumberFormat="1" applyFont="1" applyFill="1" applyBorder="1" applyAlignment="1" applyProtection="1">
      <alignment vertical="center"/>
      <protection locked="0"/>
    </xf>
    <xf numFmtId="40" fontId="0" fillId="0" borderId="0" xfId="2" applyNumberFormat="1" applyFont="1" applyFill="1" applyBorder="1" applyAlignment="1" applyProtection="1"/>
    <xf numFmtId="179" fontId="0" fillId="0" borderId="0" xfId="2" applyNumberFormat="1" applyFont="1" applyFill="1" applyBorder="1" applyAlignment="1" applyProtection="1"/>
    <xf numFmtId="0" fontId="0" fillId="0" borderId="0" xfId="0" applyAlignment="1" applyProtection="1">
      <alignment shrinkToFit="1"/>
    </xf>
    <xf numFmtId="40" fontId="0" fillId="12" borderId="36" xfId="2" applyNumberFormat="1" applyFont="1" applyFill="1" applyBorder="1" applyAlignment="1" applyProtection="1">
      <alignment horizontal="center" vertical="center" wrapText="1"/>
    </xf>
    <xf numFmtId="40" fontId="0" fillId="2" borderId="115" xfId="11" applyNumberFormat="1" applyFont="1" applyFill="1" applyBorder="1" applyAlignment="1" applyProtection="1">
      <alignment horizontal="center" vertical="center" wrapText="1"/>
    </xf>
    <xf numFmtId="40" fontId="0" fillId="2" borderId="36" xfId="2" applyNumberFormat="1" applyFont="1" applyFill="1" applyBorder="1" applyAlignment="1" applyProtection="1">
      <alignment horizontal="center" vertical="center" wrapText="1"/>
    </xf>
    <xf numFmtId="0" fontId="9" fillId="14" borderId="93" xfId="3" applyNumberFormat="1" applyFont="1" applyFill="1" applyBorder="1" applyAlignment="1" applyProtection="1">
      <alignment horizontal="center" vertical="center"/>
    </xf>
    <xf numFmtId="3" fontId="23" fillId="15" borderId="93" xfId="3" applyNumberFormat="1" applyFont="1" applyFill="1" applyBorder="1" applyAlignment="1" applyProtection="1">
      <alignment horizontal="center" vertical="center"/>
    </xf>
    <xf numFmtId="9" fontId="23" fillId="15" borderId="93" xfId="1" applyNumberFormat="1" applyFont="1" applyFill="1" applyBorder="1" applyAlignment="1" applyProtection="1">
      <alignment horizontal="center" vertical="center"/>
    </xf>
    <xf numFmtId="38" fontId="23" fillId="15" borderId="93" xfId="2" applyFont="1" applyFill="1" applyBorder="1" applyAlignment="1" applyProtection="1">
      <alignment vertical="center"/>
    </xf>
    <xf numFmtId="38" fontId="23" fillId="14" borderId="93" xfId="2" applyFont="1" applyFill="1" applyBorder="1" applyAlignment="1" applyProtection="1">
      <alignment horizontal="center" vertical="center"/>
    </xf>
    <xf numFmtId="38" fontId="23" fillId="16" borderId="93" xfId="2" applyFont="1" applyFill="1" applyBorder="1" applyAlignment="1" applyProtection="1">
      <alignment vertical="center"/>
    </xf>
    <xf numFmtId="38" fontId="23" fillId="15" borderId="94" xfId="2" applyFont="1" applyFill="1" applyBorder="1" applyAlignment="1" applyProtection="1">
      <alignment vertical="center"/>
    </xf>
    <xf numFmtId="9" fontId="23" fillId="15" borderId="95" xfId="1" applyFont="1" applyFill="1" applyBorder="1" applyAlignment="1" applyProtection="1">
      <alignment vertical="center"/>
    </xf>
    <xf numFmtId="9" fontId="23" fillId="15" borderId="93" xfId="1" applyFont="1" applyFill="1" applyBorder="1" applyAlignment="1" applyProtection="1">
      <alignment vertical="center"/>
    </xf>
    <xf numFmtId="9" fontId="23" fillId="15" borderId="96" xfId="1" applyFont="1" applyFill="1" applyBorder="1" applyAlignment="1" applyProtection="1">
      <alignment vertical="center"/>
    </xf>
    <xf numFmtId="181" fontId="23" fillId="17" borderId="97" xfId="3" applyNumberFormat="1" applyFont="1" applyFill="1" applyBorder="1" applyAlignment="1" applyProtection="1">
      <alignment vertical="center"/>
    </xf>
    <xf numFmtId="181" fontId="23" fillId="17" borderId="93" xfId="3" applyNumberFormat="1" applyFont="1" applyFill="1" applyBorder="1" applyAlignment="1" applyProtection="1">
      <alignment vertical="center"/>
    </xf>
    <xf numFmtId="181" fontId="23" fillId="17" borderId="94" xfId="3" applyNumberFormat="1" applyFont="1" applyFill="1" applyBorder="1" applyAlignment="1" applyProtection="1">
      <alignment vertical="center"/>
    </xf>
    <xf numFmtId="182" fontId="24" fillId="15" borderId="98" xfId="3" applyNumberFormat="1" applyFont="1" applyFill="1" applyBorder="1" applyAlignment="1" applyProtection="1">
      <alignment vertical="center"/>
    </xf>
    <xf numFmtId="0" fontId="10" fillId="0" borderId="0" xfId="3" applyNumberFormat="1" applyFont="1" applyBorder="1" applyAlignment="1" applyProtection="1">
      <alignment horizontal="left" vertical="center"/>
    </xf>
    <xf numFmtId="180" fontId="16" fillId="0" borderId="0" xfId="3" applyNumberFormat="1" applyFont="1" applyFill="1" applyBorder="1" applyProtection="1"/>
    <xf numFmtId="180" fontId="9" fillId="0" borderId="0" xfId="3" applyNumberFormat="1" applyFont="1" applyFill="1" applyBorder="1" applyProtection="1"/>
    <xf numFmtId="38" fontId="24" fillId="0" borderId="0" xfId="2" applyFont="1" applyFill="1" applyBorder="1" applyAlignment="1" applyProtection="1">
      <alignment horizontal="right"/>
    </xf>
    <xf numFmtId="38" fontId="24" fillId="0" borderId="0" xfId="2" applyFont="1" applyFill="1" applyBorder="1" applyAlignment="1" applyProtection="1">
      <alignment horizontal="center"/>
    </xf>
    <xf numFmtId="9" fontId="24" fillId="0" borderId="0" xfId="1" applyFont="1" applyFill="1" applyBorder="1" applyAlignment="1" applyProtection="1">
      <alignment horizontal="right"/>
    </xf>
    <xf numFmtId="0" fontId="24" fillId="0" borderId="0" xfId="3" applyNumberFormat="1" applyFont="1" applyBorder="1" applyProtection="1"/>
    <xf numFmtId="0" fontId="15" fillId="0" borderId="0" xfId="3" applyFont="1" applyAlignment="1" applyProtection="1">
      <alignment vertical="center"/>
    </xf>
    <xf numFmtId="181" fontId="23" fillId="0" borderId="84" xfId="3" applyNumberFormat="1" applyFont="1" applyFill="1" applyBorder="1" applyAlignment="1" applyProtection="1">
      <alignment vertical="center"/>
    </xf>
    <xf numFmtId="181" fontId="23" fillId="0" borderId="47" xfId="3" applyNumberFormat="1" applyFont="1" applyFill="1" applyBorder="1" applyAlignment="1" applyProtection="1">
      <alignment vertical="center"/>
    </xf>
    <xf numFmtId="181" fontId="23" fillId="0" borderId="99" xfId="3" applyNumberFormat="1" applyFont="1" applyFill="1" applyBorder="1" applyAlignment="1" applyProtection="1">
      <alignment vertical="center"/>
    </xf>
    <xf numFmtId="182" fontId="9" fillId="0" borderId="47" xfId="3" applyNumberFormat="1" applyFont="1" applyFill="1" applyBorder="1" applyAlignment="1" applyProtection="1">
      <alignment horizontal="center" vertical="center"/>
    </xf>
    <xf numFmtId="0" fontId="23" fillId="12" borderId="8" xfId="0" applyFont="1" applyFill="1" applyBorder="1" applyAlignment="1" applyProtection="1">
      <alignment vertical="top" shrinkToFit="1"/>
      <protection locked="0"/>
    </xf>
    <xf numFmtId="0" fontId="23" fillId="12" borderId="10" xfId="0" applyFont="1" applyFill="1" applyBorder="1" applyAlignment="1" applyProtection="1">
      <alignment vertical="top" shrinkToFit="1"/>
      <protection locked="0"/>
    </xf>
    <xf numFmtId="0" fontId="23" fillId="12" borderId="11" xfId="0" applyFont="1" applyFill="1" applyBorder="1" applyAlignment="1" applyProtection="1">
      <alignment vertical="top" shrinkToFit="1"/>
      <protection locked="0"/>
    </xf>
    <xf numFmtId="0" fontId="23" fillId="12" borderId="9" xfId="0" applyFont="1" applyFill="1" applyBorder="1" applyAlignment="1" applyProtection="1">
      <alignment vertical="center" shrinkToFit="1"/>
      <protection locked="0"/>
    </xf>
    <xf numFmtId="0" fontId="0" fillId="12" borderId="10" xfId="0" applyFont="1" applyFill="1" applyBorder="1" applyAlignment="1" applyProtection="1">
      <alignment vertical="center" shrinkToFit="1"/>
      <protection locked="0"/>
    </xf>
    <xf numFmtId="0" fontId="0" fillId="12" borderId="15" xfId="0" applyFont="1" applyFill="1" applyBorder="1" applyAlignment="1" applyProtection="1">
      <alignment vertical="center" shrinkToFit="1"/>
      <protection locked="0"/>
    </xf>
    <xf numFmtId="0" fontId="0" fillId="12" borderId="2" xfId="0" applyFont="1" applyFill="1" applyBorder="1" applyAlignment="1" applyProtection="1">
      <alignment horizontal="center" vertical="center"/>
      <protection locked="0"/>
    </xf>
    <xf numFmtId="176" fontId="0" fillId="12" borderId="2" xfId="0" applyNumberFormat="1" applyFont="1" applyFill="1" applyBorder="1" applyAlignment="1" applyProtection="1">
      <alignment horizontal="center" vertical="center"/>
      <protection locked="0"/>
    </xf>
    <xf numFmtId="195" fontId="11" fillId="0" borderId="56" xfId="2" applyNumberFormat="1" applyFont="1" applyFill="1" applyBorder="1" applyAlignment="1" applyProtection="1">
      <alignment vertical="center" shrinkToFit="1"/>
    </xf>
    <xf numFmtId="195" fontId="11" fillId="0" borderId="32" xfId="2" applyNumberFormat="1" applyFont="1" applyFill="1" applyBorder="1" applyAlignment="1" applyProtection="1">
      <alignment vertical="center" shrinkToFit="1"/>
    </xf>
    <xf numFmtId="195" fontId="11" fillId="0" borderId="33" xfId="2" applyNumberFormat="1" applyFont="1" applyFill="1" applyBorder="1" applyAlignment="1" applyProtection="1">
      <alignment vertical="center" shrinkToFit="1"/>
    </xf>
    <xf numFmtId="195" fontId="11" fillId="0" borderId="6" xfId="2" applyNumberFormat="1" applyFont="1" applyFill="1" applyBorder="1" applyAlignment="1" applyProtection="1">
      <alignment vertical="center"/>
    </xf>
    <xf numFmtId="195" fontId="11" fillId="0" borderId="47" xfId="2" applyNumberFormat="1" applyFont="1" applyFill="1" applyBorder="1" applyAlignment="1" applyProtection="1">
      <alignment vertical="center" shrinkToFit="1"/>
    </xf>
    <xf numFmtId="195" fontId="11" fillId="0" borderId="51" xfId="2" applyNumberFormat="1" applyFont="1" applyFill="1" applyBorder="1" applyAlignment="1" applyProtection="1">
      <alignment vertical="center" shrinkToFit="1"/>
    </xf>
    <xf numFmtId="195" fontId="11" fillId="0" borderId="81" xfId="2" applyNumberFormat="1" applyFont="1" applyFill="1" applyBorder="1" applyAlignment="1" applyProtection="1">
      <alignment vertical="center" shrinkToFit="1"/>
    </xf>
    <xf numFmtId="195" fontId="11" fillId="0" borderId="10" xfId="2" applyNumberFormat="1" applyFont="1" applyFill="1" applyBorder="1" applyAlignment="1" applyProtection="1">
      <alignment vertical="center"/>
    </xf>
    <xf numFmtId="195" fontId="11" fillId="0" borderId="68" xfId="2" applyNumberFormat="1" applyFont="1" applyFill="1" applyBorder="1" applyAlignment="1" applyProtection="1">
      <alignment vertical="center"/>
    </xf>
    <xf numFmtId="195" fontId="11" fillId="0" borderId="57" xfId="2" applyNumberFormat="1" applyFont="1" applyFill="1" applyBorder="1" applyAlignment="1" applyProtection="1">
      <alignment vertical="center" shrinkToFit="1"/>
    </xf>
    <xf numFmtId="195" fontId="11" fillId="0" borderId="34" xfId="2" applyNumberFormat="1" applyFont="1" applyFill="1" applyBorder="1" applyAlignment="1" applyProtection="1">
      <alignment vertical="center" shrinkToFit="1"/>
    </xf>
    <xf numFmtId="195" fontId="11" fillId="0" borderId="58" xfId="2" applyNumberFormat="1" applyFont="1" applyFill="1" applyBorder="1" applyAlignment="1" applyProtection="1">
      <alignment vertical="center" shrinkToFit="1"/>
    </xf>
    <xf numFmtId="195" fontId="11" fillId="0" borderId="28" xfId="2" applyNumberFormat="1" applyFont="1" applyFill="1" applyBorder="1" applyAlignment="1" applyProtection="1">
      <alignment vertical="center" shrinkToFit="1"/>
    </xf>
    <xf numFmtId="195" fontId="11" fillId="0" borderId="8" xfId="2" applyNumberFormat="1" applyFont="1" applyFill="1" applyBorder="1" applyAlignment="1" applyProtection="1">
      <alignment vertical="center"/>
    </xf>
    <xf numFmtId="195" fontId="11" fillId="0" borderId="46" xfId="2" applyNumberFormat="1" applyFont="1" applyFill="1" applyBorder="1" applyAlignment="1" applyProtection="1">
      <alignment vertical="center" shrinkToFit="1"/>
    </xf>
    <xf numFmtId="195" fontId="11" fillId="0" borderId="42" xfId="2" applyNumberFormat="1" applyFont="1" applyFill="1" applyBorder="1" applyAlignment="1" applyProtection="1">
      <alignment vertical="center" shrinkToFit="1"/>
    </xf>
    <xf numFmtId="195" fontId="11" fillId="0" borderId="24" xfId="2" applyNumberFormat="1" applyFont="1" applyFill="1" applyBorder="1" applyAlignment="1" applyProtection="1">
      <alignment vertical="center" shrinkToFit="1"/>
    </xf>
    <xf numFmtId="195" fontId="11" fillId="0" borderId="12" xfId="2" applyNumberFormat="1" applyFont="1" applyFill="1" applyBorder="1" applyAlignment="1" applyProtection="1">
      <alignment vertical="center" shrinkToFit="1"/>
    </xf>
    <xf numFmtId="198" fontId="23" fillId="0" borderId="24" xfId="7" applyNumberFormat="1" applyFont="1" applyBorder="1" applyAlignment="1" applyProtection="1">
      <alignment vertical="center"/>
    </xf>
    <xf numFmtId="198" fontId="23" fillId="0" borderId="23" xfId="2" applyNumberFormat="1" applyFont="1" applyFill="1" applyBorder="1" applyAlignment="1" applyProtection="1">
      <alignment vertical="center"/>
    </xf>
    <xf numFmtId="198" fontId="23" fillId="0" borderId="23" xfId="1" applyNumberFormat="1" applyFont="1" applyFill="1" applyBorder="1" applyAlignment="1" applyProtection="1">
      <alignment vertical="center"/>
    </xf>
    <xf numFmtId="198" fontId="23" fillId="0" borderId="15" xfId="7" applyNumberFormat="1" applyFont="1" applyBorder="1" applyAlignment="1" applyProtection="1">
      <alignment vertical="center"/>
    </xf>
    <xf numFmtId="198" fontId="23" fillId="0" borderId="22" xfId="1" applyNumberFormat="1" applyFont="1" applyFill="1" applyBorder="1" applyAlignment="1" applyProtection="1">
      <alignment vertical="center"/>
    </xf>
    <xf numFmtId="198" fontId="23" fillId="0" borderId="26" xfId="7" applyNumberFormat="1" applyFont="1" applyBorder="1" applyAlignment="1" applyProtection="1">
      <alignment vertical="center"/>
    </xf>
    <xf numFmtId="198" fontId="23" fillId="0" borderId="24" xfId="1" applyNumberFormat="1" applyFont="1" applyFill="1" applyBorder="1" applyAlignment="1" applyProtection="1">
      <alignment vertical="center"/>
    </xf>
    <xf numFmtId="198" fontId="23" fillId="0" borderId="22" xfId="7" applyNumberFormat="1" applyFont="1" applyBorder="1" applyAlignment="1" applyProtection="1">
      <alignment vertical="center"/>
    </xf>
    <xf numFmtId="198" fontId="23" fillId="0" borderId="12" xfId="7" applyNumberFormat="1" applyFont="1" applyBorder="1" applyAlignment="1" applyProtection="1">
      <alignment vertical="center"/>
    </xf>
    <xf numFmtId="198" fontId="23" fillId="0" borderId="4" xfId="7" applyNumberFormat="1" applyFont="1" applyBorder="1" applyAlignment="1" applyProtection="1">
      <alignment vertical="center"/>
    </xf>
    <xf numFmtId="198" fontId="23" fillId="0" borderId="23" xfId="7" applyNumberFormat="1" applyFont="1" applyBorder="1" applyAlignment="1" applyProtection="1">
      <alignment vertical="center"/>
    </xf>
    <xf numFmtId="198" fontId="23" fillId="0" borderId="23" xfId="7" applyNumberFormat="1" applyFont="1" applyBorder="1" applyAlignment="1" applyProtection="1">
      <alignment horizontal="right" vertical="center"/>
    </xf>
    <xf numFmtId="198" fontId="23" fillId="0" borderId="7" xfId="7" applyNumberFormat="1" applyFont="1" applyBorder="1" applyAlignment="1" applyProtection="1">
      <alignment vertical="center"/>
    </xf>
    <xf numFmtId="198" fontId="23" fillId="0" borderId="2" xfId="7" applyNumberFormat="1" applyFont="1" applyBorder="1" applyAlignment="1" applyProtection="1">
      <alignment vertical="center"/>
    </xf>
    <xf numFmtId="199" fontId="0" fillId="0" borderId="15" xfId="2" applyNumberFormat="1" applyFont="1" applyFill="1" applyBorder="1" applyAlignment="1" applyProtection="1"/>
    <xf numFmtId="199" fontId="0" fillId="0" borderId="2" xfId="2" applyNumberFormat="1" applyFont="1" applyFill="1" applyBorder="1" applyAlignment="1" applyProtection="1"/>
    <xf numFmtId="199" fontId="0" fillId="0" borderId="74" xfId="2" applyNumberFormat="1" applyFont="1" applyFill="1" applyBorder="1" applyAlignment="1" applyProtection="1"/>
    <xf numFmtId="0" fontId="23" fillId="9" borderId="27" xfId="7" applyFont="1" applyFill="1" applyBorder="1" applyProtection="1"/>
    <xf numFmtId="0" fontId="0" fillId="13" borderId="2" xfId="0" applyFont="1" applyFill="1" applyBorder="1" applyAlignment="1" applyProtection="1">
      <alignment horizontal="center" vertical="center"/>
      <protection locked="0"/>
    </xf>
    <xf numFmtId="0" fontId="0" fillId="0" borderId="0" xfId="0" applyFont="1" applyAlignment="1">
      <alignment vertical="center"/>
    </xf>
    <xf numFmtId="0" fontId="9" fillId="3" borderId="84" xfId="3" applyFont="1" applyFill="1" applyBorder="1" applyAlignment="1" applyProtection="1">
      <alignment horizontal="center" vertical="center"/>
      <protection locked="0"/>
    </xf>
    <xf numFmtId="185" fontId="16" fillId="0" borderId="10" xfId="2" applyNumberFormat="1" applyFont="1" applyFill="1" applyBorder="1" applyAlignment="1" applyProtection="1">
      <alignment vertical="center"/>
    </xf>
    <xf numFmtId="185" fontId="16" fillId="0" borderId="141" xfId="2" applyNumberFormat="1" applyFont="1" applyFill="1" applyBorder="1" applyAlignment="1" applyProtection="1">
      <alignment vertical="center"/>
    </xf>
    <xf numFmtId="0" fontId="16" fillId="0" borderId="137" xfId="6" applyFont="1" applyBorder="1" applyAlignment="1" applyProtection="1">
      <alignment horizontal="justify" vertical="center" indent="1" shrinkToFit="1"/>
    </xf>
    <xf numFmtId="200" fontId="24" fillId="0" borderId="0" xfId="3" applyNumberFormat="1" applyFont="1" applyFill="1" applyBorder="1" applyProtection="1"/>
    <xf numFmtId="200" fontId="23" fillId="2" borderId="84" xfId="3" applyNumberFormat="1" applyFont="1" applyFill="1" applyBorder="1" applyAlignment="1" applyProtection="1">
      <alignment vertical="center"/>
      <protection locked="0"/>
    </xf>
    <xf numFmtId="200" fontId="23" fillId="2" borderId="47" xfId="3" applyNumberFormat="1" applyFont="1" applyFill="1" applyBorder="1" applyAlignment="1" applyProtection="1">
      <alignment vertical="center"/>
      <protection locked="0"/>
    </xf>
    <xf numFmtId="200" fontId="23" fillId="2" borderId="99" xfId="3" applyNumberFormat="1" applyFont="1" applyFill="1" applyBorder="1" applyAlignment="1" applyProtection="1">
      <alignment vertical="center"/>
      <protection locked="0"/>
    </xf>
    <xf numFmtId="200" fontId="23" fillId="15" borderId="93" xfId="3" applyNumberFormat="1" applyFont="1" applyFill="1" applyBorder="1" applyAlignment="1" applyProtection="1">
      <alignment vertical="center"/>
    </xf>
    <xf numFmtId="200" fontId="23" fillId="2" borderId="42" xfId="3" applyNumberFormat="1" applyFont="1" applyFill="1" applyBorder="1" applyAlignment="1" applyProtection="1">
      <alignment vertical="center"/>
      <protection locked="0"/>
    </xf>
    <xf numFmtId="200" fontId="30" fillId="2" borderId="47" xfId="3" applyNumberFormat="1" applyFont="1" applyFill="1" applyBorder="1" applyAlignment="1" applyProtection="1">
      <alignment vertical="center"/>
      <protection locked="0"/>
    </xf>
    <xf numFmtId="0" fontId="23" fillId="0" borderId="22" xfId="7" applyFont="1" applyBorder="1" applyAlignment="1" applyProtection="1">
      <alignment vertical="center"/>
    </xf>
    <xf numFmtId="0" fontId="23" fillId="0" borderId="22" xfId="7" applyFont="1" applyBorder="1" applyAlignment="1" applyProtection="1">
      <alignment horizontal="center" vertical="center"/>
    </xf>
    <xf numFmtId="9" fontId="23" fillId="0" borderId="22" xfId="1" applyFont="1" applyFill="1" applyBorder="1" applyAlignment="1" applyProtection="1">
      <alignment vertical="center"/>
    </xf>
    <xf numFmtId="9" fontId="23" fillId="0" borderId="15" xfId="1" applyFont="1" applyFill="1" applyBorder="1" applyAlignment="1" applyProtection="1">
      <alignment vertical="center"/>
    </xf>
    <xf numFmtId="38" fontId="23" fillId="0" borderId="15" xfId="2" applyFont="1" applyFill="1" applyBorder="1" applyAlignment="1" applyProtection="1">
      <alignment horizontal="right" vertical="center" shrinkToFit="1"/>
    </xf>
    <xf numFmtId="178" fontId="23" fillId="0" borderId="22" xfId="7" applyNumberFormat="1" applyFont="1" applyBorder="1" applyAlignment="1" applyProtection="1">
      <alignment horizontal="center" vertical="center"/>
    </xf>
    <xf numFmtId="3" fontId="13" fillId="0" borderId="15" xfId="7" applyNumberFormat="1" applyFont="1" applyBorder="1" applyAlignment="1" applyProtection="1">
      <alignment vertical="center"/>
    </xf>
    <xf numFmtId="0" fontId="23" fillId="0" borderId="15" xfId="2" applyNumberFormat="1" applyFont="1" applyFill="1" applyBorder="1" applyAlignment="1" applyProtection="1">
      <alignment horizontal="right" vertical="center" shrinkToFit="1"/>
    </xf>
    <xf numFmtId="9" fontId="23" fillId="0" borderId="22" xfId="7" applyNumberFormat="1" applyFont="1" applyBorder="1" applyAlignment="1" applyProtection="1">
      <alignment vertical="center"/>
    </xf>
    <xf numFmtId="38" fontId="23" fillId="0" borderId="22" xfId="2" applyFont="1" applyFill="1" applyBorder="1" applyAlignment="1" applyProtection="1">
      <alignment horizontal="center" vertical="center"/>
    </xf>
    <xf numFmtId="0" fontId="23" fillId="0" borderId="21" xfId="7" applyFont="1" applyBorder="1" applyProtection="1"/>
    <xf numFmtId="0" fontId="23" fillId="0" borderId="2" xfId="7" applyFont="1" applyBorder="1" applyAlignment="1" applyProtection="1">
      <alignment vertical="center"/>
    </xf>
    <xf numFmtId="0" fontId="16" fillId="0" borderId="0" xfId="7" applyFont="1" applyAlignment="1" applyProtection="1">
      <alignment vertical="center"/>
    </xf>
    <xf numFmtId="0" fontId="0" fillId="0" borderId="0" xfId="0" applyAlignment="1" applyProtection="1">
      <alignment horizontal="center" vertical="center" wrapText="1"/>
    </xf>
    <xf numFmtId="0" fontId="0" fillId="0" borderId="0" xfId="0" applyAlignment="1" applyProtection="1">
      <alignment vertical="center"/>
    </xf>
    <xf numFmtId="0" fontId="5" fillId="0" borderId="0" xfId="0" applyFont="1" applyAlignment="1" applyProtection="1">
      <alignment horizontal="left" vertical="center"/>
    </xf>
    <xf numFmtId="0" fontId="4" fillId="0" borderId="58" xfId="0" applyFont="1" applyFill="1" applyBorder="1" applyAlignment="1" applyProtection="1">
      <alignment horizontal="center" vertical="center"/>
    </xf>
    <xf numFmtId="0" fontId="4" fillId="0" borderId="0" xfId="0" applyFont="1" applyFill="1" applyProtection="1"/>
    <xf numFmtId="0" fontId="4" fillId="0" borderId="42" xfId="0" applyFont="1" applyFill="1" applyBorder="1" applyAlignment="1" applyProtection="1">
      <alignment horizontal="center" vertical="center"/>
    </xf>
    <xf numFmtId="0" fontId="4" fillId="0" borderId="59" xfId="0" applyFont="1" applyBorder="1" applyAlignment="1" applyProtection="1">
      <alignment horizontal="center" vertical="center"/>
    </xf>
    <xf numFmtId="0" fontId="22" fillId="23" borderId="123" xfId="0" applyFont="1" applyFill="1" applyBorder="1" applyAlignment="1" applyProtection="1">
      <alignment horizontal="center" vertical="center"/>
    </xf>
    <xf numFmtId="0" fontId="23" fillId="0" borderId="0" xfId="0" applyFont="1" applyAlignment="1" applyProtection="1">
      <alignment vertical="center"/>
    </xf>
    <xf numFmtId="195" fontId="23" fillId="0" borderId="0" xfId="0" applyNumberFormat="1" applyFont="1" applyProtection="1"/>
    <xf numFmtId="0" fontId="23" fillId="0" borderId="128" xfId="0" applyFont="1" applyBorder="1" applyAlignment="1" applyProtection="1">
      <alignment horizontal="center" vertical="center" shrinkToFit="1"/>
    </xf>
    <xf numFmtId="0" fontId="0" fillId="0" borderId="0" xfId="0" applyFont="1" applyProtection="1"/>
    <xf numFmtId="196" fontId="0" fillId="0" borderId="0" xfId="0" applyNumberFormat="1" applyFont="1" applyProtection="1"/>
    <xf numFmtId="200" fontId="16" fillId="0" borderId="0" xfId="0" applyNumberFormat="1" applyFont="1" applyProtection="1"/>
    <xf numFmtId="38" fontId="9" fillId="0" borderId="0" xfId="2" applyFont="1" applyFill="1" applyBorder="1" applyAlignment="1" applyProtection="1">
      <alignment horizontal="center"/>
    </xf>
    <xf numFmtId="9" fontId="9" fillId="0" borderId="0" xfId="1" applyFont="1" applyFill="1" applyBorder="1" applyAlignment="1" applyProtection="1"/>
    <xf numFmtId="3" fontId="9" fillId="0" borderId="0" xfId="0" applyNumberFormat="1" applyFont="1" applyFill="1" applyProtection="1"/>
    <xf numFmtId="200" fontId="23" fillId="0" borderId="0" xfId="3" applyNumberFormat="1" applyFont="1" applyProtection="1"/>
    <xf numFmtId="38" fontId="23" fillId="0" borderId="0" xfId="2" applyFont="1" applyFill="1" applyBorder="1" applyAlignment="1" applyProtection="1"/>
    <xf numFmtId="38" fontId="23" fillId="0" borderId="0" xfId="2" applyFont="1" applyFill="1" applyBorder="1" applyAlignment="1" applyProtection="1">
      <alignment horizontal="center"/>
    </xf>
    <xf numFmtId="9" fontId="23" fillId="0" borderId="0" xfId="1" applyFont="1" applyFill="1" applyBorder="1" applyAlignment="1" applyProtection="1"/>
    <xf numFmtId="0" fontId="23" fillId="0" borderId="0" xfId="3" applyFont="1" applyFill="1" applyProtection="1"/>
    <xf numFmtId="200" fontId="15" fillId="0" borderId="0" xfId="3" applyNumberFormat="1" applyFont="1" applyProtection="1"/>
    <xf numFmtId="38" fontId="15" fillId="0" borderId="0" xfId="2" applyFont="1" applyFill="1" applyBorder="1" applyAlignment="1" applyProtection="1"/>
    <xf numFmtId="38" fontId="15" fillId="0" borderId="0" xfId="2" applyFont="1" applyFill="1" applyBorder="1" applyAlignment="1" applyProtection="1">
      <alignment horizontal="center"/>
    </xf>
    <xf numFmtId="9" fontId="15" fillId="0" borderId="0" xfId="1" applyFont="1" applyFill="1" applyBorder="1" applyAlignment="1" applyProtection="1"/>
    <xf numFmtId="0" fontId="15" fillId="0" borderId="0" xfId="3" applyFont="1" applyFill="1" applyProtection="1"/>
    <xf numFmtId="0" fontId="0" fillId="12" borderId="0" xfId="0" applyNumberFormat="1" applyFont="1" applyFill="1" applyAlignment="1">
      <alignment horizontal="left"/>
    </xf>
    <xf numFmtId="0" fontId="0" fillId="12" borderId="0" xfId="0" applyNumberFormat="1" applyFill="1"/>
    <xf numFmtId="0" fontId="0" fillId="12" borderId="0" xfId="0" applyFill="1"/>
    <xf numFmtId="0" fontId="0" fillId="12" borderId="0" xfId="0" applyFill="1" applyAlignment="1">
      <alignment horizontal="left"/>
    </xf>
    <xf numFmtId="0" fontId="21" fillId="12" borderId="0" xfId="0" applyFont="1" applyFill="1"/>
    <xf numFmtId="0" fontId="23" fillId="12" borderId="5" xfId="0" applyFont="1" applyFill="1" applyBorder="1" applyAlignment="1" applyProtection="1">
      <alignment vertical="center" shrinkToFit="1"/>
      <protection locked="0"/>
    </xf>
    <xf numFmtId="0" fontId="24" fillId="2" borderId="23" xfId="7" applyFont="1" applyFill="1" applyBorder="1" applyAlignment="1" applyProtection="1">
      <alignment vertical="center"/>
      <protection locked="0"/>
    </xf>
    <xf numFmtId="191" fontId="23" fillId="2" borderId="24" xfId="2" applyNumberFormat="1" applyFont="1" applyFill="1" applyBorder="1" applyAlignment="1" applyProtection="1">
      <alignment horizontal="right" vertical="center" shrinkToFit="1"/>
      <protection locked="0"/>
    </xf>
    <xf numFmtId="0" fontId="16" fillId="0" borderId="156" xfId="6" applyFont="1" applyBorder="1" applyAlignment="1" applyProtection="1">
      <alignment horizontal="justify" vertical="center" indent="1" shrinkToFit="1"/>
    </xf>
    <xf numFmtId="0" fontId="16" fillId="0" borderId="11" xfId="6" applyFont="1" applyBorder="1" applyAlignment="1" applyProtection="1">
      <alignment horizontal="justify" vertical="center" indent="1" shrinkToFit="1"/>
    </xf>
    <xf numFmtId="0" fontId="0" fillId="0" borderId="63" xfId="6" applyFont="1" applyBorder="1" applyAlignment="1" applyProtection="1">
      <alignment horizontal="justify" vertical="center" indent="1" shrinkToFit="1"/>
    </xf>
    <xf numFmtId="0" fontId="16" fillId="0" borderId="157" xfId="6" applyFont="1" applyBorder="1" applyAlignment="1" applyProtection="1">
      <alignment horizontal="center" vertical="center" textRotation="255" wrapText="1"/>
    </xf>
    <xf numFmtId="0" fontId="16" fillId="0" borderId="158" xfId="6" applyFont="1" applyBorder="1" applyAlignment="1" applyProtection="1">
      <alignment horizontal="center" vertical="center" textRotation="255" wrapText="1"/>
    </xf>
    <xf numFmtId="0" fontId="16" fillId="0" borderId="159" xfId="6" applyFont="1" applyBorder="1" applyAlignment="1" applyProtection="1">
      <alignment horizontal="center" vertical="center" textRotation="255" wrapText="1"/>
    </xf>
    <xf numFmtId="0" fontId="16" fillId="0" borderId="61" xfId="6" applyFont="1" applyBorder="1" applyAlignment="1" applyProtection="1">
      <alignment horizontal="justify" vertical="center" indent="1" shrinkToFit="1"/>
    </xf>
    <xf numFmtId="0" fontId="16" fillId="0" borderId="11" xfId="6" applyFont="1" applyBorder="1" applyAlignment="1" applyProtection="1">
      <alignment horizontal="justify" vertical="center" indent="1"/>
    </xf>
    <xf numFmtId="0" fontId="16" fillId="0" borderId="0" xfId="6" applyFont="1" applyBorder="1" applyAlignment="1" applyProtection="1">
      <alignment horizontal="left" vertical="center" indent="1"/>
    </xf>
    <xf numFmtId="0" fontId="0" fillId="0" borderId="61" xfId="6" applyFont="1" applyBorder="1" applyAlignment="1" applyProtection="1">
      <alignment horizontal="left" vertical="center" indent="1"/>
    </xf>
    <xf numFmtId="0" fontId="16" fillId="0" borderId="160" xfId="6" applyFont="1" applyBorder="1" applyAlignment="1" applyProtection="1">
      <alignment horizontal="center" vertical="center"/>
    </xf>
    <xf numFmtId="0" fontId="16" fillId="0" borderId="161" xfId="6" applyFont="1" applyBorder="1" applyAlignment="1" applyProtection="1">
      <alignment horizontal="center" vertical="center" textRotation="255" wrapText="1"/>
    </xf>
    <xf numFmtId="0" fontId="16" fillId="0" borderId="9" xfId="6" applyFont="1" applyBorder="1" applyAlignment="1" applyProtection="1">
      <alignment horizontal="center" vertical="center" textRotation="255" wrapText="1"/>
    </xf>
    <xf numFmtId="0" fontId="16" fillId="0" borderId="13" xfId="6" applyFont="1" applyBorder="1" applyAlignment="1" applyProtection="1">
      <alignment horizontal="center" vertical="center" textRotation="255" wrapText="1"/>
    </xf>
    <xf numFmtId="0" fontId="16" fillId="0" borderId="25" xfId="6" applyFont="1" applyBorder="1" applyAlignment="1" applyProtection="1">
      <alignment horizontal="center" vertical="center" textRotation="255" wrapText="1"/>
    </xf>
    <xf numFmtId="0" fontId="16" fillId="0" borderId="18" xfId="6" applyFont="1" applyBorder="1" applyAlignment="1" applyProtection="1">
      <alignment horizontal="justify" vertical="center" indent="1"/>
    </xf>
    <xf numFmtId="0" fontId="16" fillId="0" borderId="62" xfId="6" applyFont="1" applyBorder="1" applyAlignment="1" applyProtection="1">
      <alignment horizontal="justify" vertical="center" indent="1"/>
    </xf>
    <xf numFmtId="0" fontId="16" fillId="0" borderId="147" xfId="6" applyFont="1" applyBorder="1" applyAlignment="1" applyProtection="1">
      <alignment horizontal="center" vertical="center" textRotation="255" wrapText="1"/>
    </xf>
    <xf numFmtId="0" fontId="16" fillId="0" borderId="60" xfId="6" applyFont="1" applyBorder="1" applyAlignment="1" applyProtection="1">
      <alignment horizontal="center" vertical="center" textRotation="255" wrapText="1"/>
    </xf>
    <xf numFmtId="0" fontId="16" fillId="0" borderId="62" xfId="6" applyFont="1" applyBorder="1" applyAlignment="1" applyProtection="1">
      <alignment horizontal="center" vertical="center"/>
    </xf>
    <xf numFmtId="0" fontId="16" fillId="0" borderId="162" xfId="6" applyFont="1" applyBorder="1" applyAlignment="1" applyProtection="1">
      <alignment horizontal="justify" vertical="center" indent="1"/>
    </xf>
    <xf numFmtId="0" fontId="4" fillId="0" borderId="163" xfId="0" applyFont="1" applyBorder="1" applyAlignment="1" applyProtection="1">
      <alignment horizontal="center" vertical="center"/>
    </xf>
    <xf numFmtId="201" fontId="4" fillId="12" borderId="133" xfId="0" applyNumberFormat="1" applyFont="1" applyFill="1" applyBorder="1" applyAlignment="1" applyProtection="1">
      <alignment horizontal="center"/>
      <protection locked="0"/>
    </xf>
    <xf numFmtId="0" fontId="16" fillId="0" borderId="0" xfId="6" applyFont="1" applyBorder="1" applyAlignment="1" applyProtection="1">
      <alignment vertical="center"/>
    </xf>
    <xf numFmtId="184" fontId="16" fillId="0" borderId="0" xfId="6" applyNumberFormat="1" applyFont="1" applyBorder="1" applyAlignment="1" applyProtection="1">
      <alignment horizontal="right" vertical="center"/>
    </xf>
    <xf numFmtId="0" fontId="16" fillId="0" borderId="0" xfId="6" applyFont="1" applyAlignment="1" applyProtection="1">
      <alignment vertical="center"/>
    </xf>
    <xf numFmtId="0" fontId="23" fillId="0" borderId="0" xfId="6" applyFont="1" applyAlignment="1" applyProtection="1">
      <alignment vertical="center"/>
    </xf>
    <xf numFmtId="0" fontId="16" fillId="0" borderId="0" xfId="0" applyFont="1" applyAlignment="1" applyProtection="1">
      <alignment horizontal="left"/>
    </xf>
    <xf numFmtId="0" fontId="23" fillId="0" borderId="0" xfId="6" applyFont="1" applyAlignment="1" applyProtection="1">
      <alignment horizontal="left" vertical="center"/>
    </xf>
    <xf numFmtId="197" fontId="32" fillId="0" borderId="170" xfId="0" applyNumberFormat="1" applyFont="1" applyBorder="1" applyAlignment="1">
      <alignment vertical="center"/>
    </xf>
    <xf numFmtId="197" fontId="0" fillId="0" borderId="171" xfId="0" applyNumberFormat="1" applyFont="1" applyBorder="1" applyAlignment="1">
      <alignment horizontal="center" vertical="center"/>
    </xf>
    <xf numFmtId="197" fontId="0" fillId="0" borderId="170" xfId="0" applyNumberFormat="1" applyFont="1" applyBorder="1" applyAlignment="1">
      <alignment horizontal="center" vertical="center"/>
    </xf>
    <xf numFmtId="197" fontId="0" fillId="0" borderId="172" xfId="0" applyNumberFormat="1" applyFont="1" applyBorder="1" applyAlignment="1">
      <alignment horizontal="center" vertical="center"/>
    </xf>
    <xf numFmtId="197" fontId="0" fillId="0" borderId="173" xfId="0" applyNumberFormat="1" applyFont="1" applyBorder="1" applyAlignment="1">
      <alignment horizontal="center" vertical="center"/>
    </xf>
    <xf numFmtId="197" fontId="0" fillId="17" borderId="168" xfId="0" applyNumberFormat="1" applyFont="1" applyFill="1" applyBorder="1" applyAlignment="1">
      <alignment horizontal="center" vertical="center"/>
    </xf>
    <xf numFmtId="197" fontId="0" fillId="0" borderId="124" xfId="0" applyNumberFormat="1" applyBorder="1" applyAlignment="1">
      <alignment horizontal="center" vertical="center"/>
    </xf>
    <xf numFmtId="0" fontId="0" fillId="0" borderId="11" xfId="6" applyFont="1" applyBorder="1" applyAlignment="1" applyProtection="1">
      <alignment horizontal="left" vertical="center" indent="1"/>
    </xf>
    <xf numFmtId="181" fontId="23" fillId="17" borderId="191" xfId="3" applyNumberFormat="1" applyFont="1" applyFill="1" applyBorder="1" applyAlignment="1" applyProtection="1">
      <alignment vertical="center"/>
    </xf>
    <xf numFmtId="0" fontId="15" fillId="0" borderId="0" xfId="3" applyNumberFormat="1" applyFont="1" applyFill="1" applyBorder="1" applyProtection="1"/>
    <xf numFmtId="0" fontId="24" fillId="0" borderId="0" xfId="3" applyNumberFormat="1" applyFont="1" applyFill="1" applyBorder="1" applyAlignment="1" applyProtection="1">
      <alignment horizontal="right"/>
    </xf>
    <xf numFmtId="0" fontId="16" fillId="0" borderId="0" xfId="0" applyFont="1" applyFill="1" applyProtection="1"/>
    <xf numFmtId="3" fontId="23" fillId="17" borderId="93" xfId="3" applyNumberFormat="1" applyFont="1" applyFill="1" applyBorder="1" applyAlignment="1" applyProtection="1">
      <alignment vertical="center"/>
    </xf>
    <xf numFmtId="3" fontId="23" fillId="0" borderId="84" xfId="3" applyNumberFormat="1" applyFont="1" applyFill="1" applyBorder="1" applyAlignment="1" applyProtection="1">
      <alignment vertical="center"/>
    </xf>
    <xf numFmtId="3" fontId="23" fillId="0" borderId="47" xfId="3" applyNumberFormat="1" applyFont="1" applyFill="1" applyBorder="1" applyAlignment="1" applyProtection="1">
      <alignment vertical="center"/>
    </xf>
    <xf numFmtId="3" fontId="23" fillId="0" borderId="99" xfId="3" applyNumberFormat="1" applyFont="1" applyFill="1" applyBorder="1" applyAlignment="1" applyProtection="1">
      <alignment vertical="center"/>
    </xf>
    <xf numFmtId="181" fontId="23" fillId="0" borderId="42" xfId="3" applyNumberFormat="1" applyFont="1" applyFill="1" applyBorder="1" applyAlignment="1" applyProtection="1">
      <alignment vertical="center"/>
    </xf>
    <xf numFmtId="3" fontId="23" fillId="0" borderId="42" xfId="3" applyNumberFormat="1" applyFont="1" applyFill="1" applyBorder="1" applyAlignment="1" applyProtection="1">
      <alignment vertical="center"/>
    </xf>
    <xf numFmtId="189" fontId="16" fillId="2" borderId="47" xfId="1" applyNumberFormat="1" applyFill="1" applyBorder="1" applyAlignment="1" applyProtection="1">
      <alignment vertical="center"/>
      <protection locked="0"/>
    </xf>
    <xf numFmtId="198" fontId="23" fillId="0" borderId="84" xfId="3" applyNumberFormat="1" applyFont="1" applyFill="1" applyBorder="1" applyAlignment="1" applyProtection="1">
      <alignment vertical="center"/>
    </xf>
    <xf numFmtId="198" fontId="23" fillId="0" borderId="47" xfId="3" applyNumberFormat="1" applyFont="1" applyFill="1" applyBorder="1" applyAlignment="1" applyProtection="1">
      <alignment vertical="center"/>
    </xf>
    <xf numFmtId="198" fontId="23" fillId="0" borderId="99" xfId="3" applyNumberFormat="1" applyFont="1" applyFill="1" applyBorder="1" applyAlignment="1" applyProtection="1">
      <alignment vertical="center"/>
    </xf>
    <xf numFmtId="38" fontId="16" fillId="12" borderId="163" xfId="2" applyFill="1" applyBorder="1" applyAlignment="1" applyProtection="1">
      <alignment vertical="center"/>
      <protection locked="0"/>
    </xf>
    <xf numFmtId="38" fontId="16" fillId="12" borderId="164" xfId="2" applyFill="1" applyBorder="1" applyAlignment="1" applyProtection="1">
      <alignment vertical="center"/>
      <protection locked="0"/>
    </xf>
    <xf numFmtId="38" fontId="16" fillId="0" borderId="165" xfId="2" applyBorder="1" applyAlignment="1">
      <alignment vertical="center"/>
    </xf>
    <xf numFmtId="38" fontId="16" fillId="12" borderId="135" xfId="2" applyFill="1" applyBorder="1" applyAlignment="1" applyProtection="1">
      <alignment vertical="center"/>
      <protection locked="0"/>
    </xf>
    <xf numFmtId="38" fontId="16" fillId="12" borderId="116" xfId="2" applyFill="1" applyBorder="1" applyAlignment="1" applyProtection="1">
      <alignment vertical="center"/>
      <protection locked="0"/>
    </xf>
    <xf numFmtId="38" fontId="16" fillId="0" borderId="131" xfId="2" applyBorder="1" applyAlignment="1">
      <alignment vertical="center"/>
    </xf>
    <xf numFmtId="38" fontId="16" fillId="0" borderId="131" xfId="2" applyBorder="1" applyAlignment="1">
      <alignment horizontal="right" vertical="center"/>
    </xf>
    <xf numFmtId="38" fontId="16" fillId="0" borderId="134" xfId="2" applyBorder="1" applyAlignment="1">
      <alignment horizontal="right" vertical="center"/>
    </xf>
    <xf numFmtId="38" fontId="16" fillId="0" borderId="126" xfId="2" applyBorder="1" applyAlignment="1">
      <alignment horizontal="right" vertical="center"/>
    </xf>
    <xf numFmtId="38" fontId="16" fillId="17" borderId="179" xfId="2" applyFill="1" applyBorder="1" applyAlignment="1">
      <alignment vertical="center"/>
    </xf>
    <xf numFmtId="38" fontId="16" fillId="17" borderId="180" xfId="2" applyFill="1" applyBorder="1" applyAlignment="1">
      <alignment horizontal="right" vertical="center"/>
    </xf>
    <xf numFmtId="38" fontId="16" fillId="17" borderId="181" xfId="2" applyFill="1" applyBorder="1" applyAlignment="1">
      <alignment horizontal="right" vertical="center"/>
    </xf>
    <xf numFmtId="38" fontId="16" fillId="17" borderId="167" xfId="2" applyFill="1" applyBorder="1" applyAlignment="1">
      <alignment horizontal="right" vertical="center"/>
    </xf>
    <xf numFmtId="38" fontId="16" fillId="12" borderId="174" xfId="2" applyFill="1" applyBorder="1" applyAlignment="1" applyProtection="1">
      <alignment vertical="center"/>
      <protection locked="0"/>
    </xf>
    <xf numFmtId="38" fontId="16" fillId="12" borderId="184" xfId="2" applyFill="1" applyBorder="1" applyAlignment="1" applyProtection="1">
      <alignment vertical="center"/>
      <protection locked="0"/>
    </xf>
    <xf numFmtId="38" fontId="16" fillId="0" borderId="174" xfId="2" applyBorder="1" applyAlignment="1">
      <alignment vertical="center"/>
    </xf>
    <xf numFmtId="38" fontId="16" fillId="12" borderId="175" xfId="2" applyFill="1" applyBorder="1" applyAlignment="1" applyProtection="1">
      <alignment vertical="center"/>
      <protection locked="0"/>
    </xf>
    <xf numFmtId="38" fontId="16" fillId="12" borderId="185" xfId="2" applyFill="1" applyBorder="1" applyAlignment="1" applyProtection="1">
      <alignment vertical="center"/>
      <protection locked="0"/>
    </xf>
    <xf numFmtId="38" fontId="16" fillId="0" borderId="187" xfId="2" applyBorder="1" applyAlignment="1">
      <alignment vertical="center"/>
    </xf>
    <xf numFmtId="38" fontId="16" fillId="12" borderId="176" xfId="2" applyFill="1" applyBorder="1" applyAlignment="1" applyProtection="1">
      <alignment vertical="center"/>
      <protection locked="0"/>
    </xf>
    <xf numFmtId="38" fontId="16" fillId="12" borderId="186" xfId="2" applyFill="1" applyBorder="1" applyAlignment="1" applyProtection="1">
      <alignment vertical="center"/>
      <protection locked="0"/>
    </xf>
    <xf numFmtId="38" fontId="16" fillId="0" borderId="188" xfId="2" applyBorder="1" applyAlignment="1">
      <alignment vertical="center"/>
    </xf>
    <xf numFmtId="38" fontId="16" fillId="12" borderId="177" xfId="2" applyFill="1" applyBorder="1" applyAlignment="1" applyProtection="1">
      <alignment vertical="center"/>
      <protection locked="0"/>
    </xf>
    <xf numFmtId="38" fontId="16" fillId="12" borderId="125" xfId="2" applyFill="1" applyBorder="1" applyAlignment="1" applyProtection="1">
      <alignment vertical="center"/>
      <protection locked="0"/>
    </xf>
    <xf numFmtId="38" fontId="16" fillId="0" borderId="177" xfId="2" applyBorder="1" applyAlignment="1">
      <alignment vertical="center"/>
    </xf>
    <xf numFmtId="198" fontId="9" fillId="0" borderId="23" xfId="7" applyNumberFormat="1" applyFont="1" applyBorder="1" applyAlignment="1" applyProtection="1">
      <alignment vertical="center"/>
    </xf>
    <xf numFmtId="0" fontId="7" fillId="0" borderId="194" xfId="4" applyFont="1" applyFill="1" applyBorder="1" applyAlignment="1"/>
    <xf numFmtId="0" fontId="23" fillId="24" borderId="195" xfId="3" applyNumberFormat="1" applyFont="1" applyFill="1" applyBorder="1" applyAlignment="1" applyProtection="1">
      <alignment horizontal="center" vertical="center"/>
    </xf>
    <xf numFmtId="0" fontId="12" fillId="2" borderId="197" xfId="3" applyNumberFormat="1" applyFont="1" applyFill="1" applyBorder="1" applyAlignment="1" applyProtection="1">
      <alignment horizontal="center" vertical="center"/>
    </xf>
    <xf numFmtId="0" fontId="12" fillId="3" borderId="197" xfId="3" applyNumberFormat="1" applyFont="1" applyFill="1" applyBorder="1" applyAlignment="1" applyProtection="1">
      <alignment horizontal="center" vertical="center"/>
    </xf>
    <xf numFmtId="200" fontId="12" fillId="2" borderId="197" xfId="3" applyNumberFormat="1" applyFont="1" applyFill="1" applyBorder="1" applyAlignment="1" applyProtection="1">
      <alignment horizontal="center" vertical="center"/>
    </xf>
    <xf numFmtId="0" fontId="27" fillId="2" borderId="197" xfId="3" applyNumberFormat="1" applyFont="1" applyFill="1" applyBorder="1" applyAlignment="1" applyProtection="1">
      <alignment horizontal="center" vertical="center" shrinkToFit="1"/>
    </xf>
    <xf numFmtId="0" fontId="12" fillId="0" borderId="198" xfId="3" applyNumberFormat="1" applyFont="1" applyFill="1" applyBorder="1" applyAlignment="1" applyProtection="1">
      <alignment horizontal="center" vertical="center"/>
    </xf>
    <xf numFmtId="38" fontId="28" fillId="4" borderId="197" xfId="2" applyFont="1" applyFill="1" applyBorder="1" applyAlignment="1" applyProtection="1">
      <alignment horizontal="center" vertical="center"/>
    </xf>
    <xf numFmtId="38" fontId="28" fillId="3" borderId="197" xfId="2" applyFont="1" applyFill="1" applyBorder="1" applyAlignment="1" applyProtection="1">
      <alignment horizontal="center" vertical="center"/>
    </xf>
    <xf numFmtId="38" fontId="29" fillId="10" borderId="197" xfId="2" applyFont="1" applyFill="1" applyBorder="1" applyAlignment="1" applyProtection="1">
      <alignment horizontal="center" vertical="center"/>
    </xf>
    <xf numFmtId="38" fontId="28" fillId="4" borderId="198" xfId="2" applyFont="1" applyFill="1" applyBorder="1" applyAlignment="1" applyProtection="1">
      <alignment horizontal="center" vertical="center"/>
    </xf>
    <xf numFmtId="9" fontId="28" fillId="4" borderId="199" xfId="1" applyFont="1" applyFill="1" applyBorder="1" applyAlignment="1" applyProtection="1">
      <alignment horizontal="center" vertical="center"/>
    </xf>
    <xf numFmtId="9" fontId="28" fillId="4" borderId="197" xfId="1" applyFont="1" applyFill="1" applyBorder="1" applyAlignment="1" applyProtection="1">
      <alignment horizontal="center" vertical="center"/>
    </xf>
    <xf numFmtId="9" fontId="28" fillId="4" borderId="200" xfId="1" applyFont="1" applyFill="1" applyBorder="1" applyAlignment="1" applyProtection="1">
      <alignment horizontal="center" vertical="center"/>
    </xf>
    <xf numFmtId="0" fontId="28" fillId="10" borderId="201" xfId="3" applyNumberFormat="1" applyFont="1" applyFill="1" applyBorder="1" applyAlignment="1" applyProtection="1">
      <alignment horizontal="center" vertical="center"/>
    </xf>
    <xf numFmtId="0" fontId="28" fillId="10" borderId="198" xfId="3" applyNumberFormat="1" applyFont="1" applyFill="1" applyBorder="1" applyAlignment="1" applyProtection="1">
      <alignment horizontal="center" vertical="center"/>
    </xf>
    <xf numFmtId="0" fontId="12" fillId="2" borderId="202" xfId="3" applyNumberFormat="1" applyFont="1" applyFill="1" applyBorder="1" applyAlignment="1" applyProtection="1">
      <alignment horizontal="center" vertical="center"/>
    </xf>
    <xf numFmtId="181" fontId="23" fillId="12" borderId="99" xfId="3" applyNumberFormat="1" applyFont="1" applyFill="1" applyBorder="1" applyAlignment="1" applyProtection="1">
      <alignment vertical="center"/>
      <protection locked="0"/>
    </xf>
    <xf numFmtId="182" fontId="9" fillId="12" borderId="99" xfId="3" applyNumberFormat="1" applyFont="1" applyFill="1" applyBorder="1" applyAlignment="1" applyProtection="1">
      <alignment horizontal="center" vertical="center"/>
      <protection locked="0"/>
    </xf>
    <xf numFmtId="197" fontId="0" fillId="0" borderId="169" xfId="0" applyNumberFormat="1" applyBorder="1" applyAlignment="1">
      <alignment horizontal="center" vertical="center"/>
    </xf>
    <xf numFmtId="197" fontId="0" fillId="0" borderId="204" xfId="0" applyNumberFormat="1" applyBorder="1" applyAlignment="1">
      <alignment horizontal="center" vertical="center"/>
    </xf>
    <xf numFmtId="197" fontId="0" fillId="0" borderId="205" xfId="0" applyNumberFormat="1" applyFont="1" applyBorder="1" applyAlignment="1">
      <alignment horizontal="center" vertical="center" shrinkToFit="1"/>
    </xf>
    <xf numFmtId="0" fontId="0" fillId="3" borderId="38" xfId="0" applyFont="1" applyFill="1" applyBorder="1" applyAlignment="1" applyProtection="1">
      <alignment shrinkToFit="1"/>
      <protection locked="0"/>
    </xf>
    <xf numFmtId="0" fontId="0" fillId="3" borderId="2" xfId="0" applyFont="1" applyFill="1" applyBorder="1" applyAlignment="1" applyProtection="1">
      <alignment shrinkToFit="1"/>
      <protection locked="0"/>
    </xf>
    <xf numFmtId="0" fontId="0" fillId="7" borderId="15" xfId="0" applyFill="1" applyBorder="1" applyAlignment="1" applyProtection="1">
      <alignment shrinkToFit="1"/>
      <protection locked="0"/>
    </xf>
    <xf numFmtId="0" fontId="0" fillId="7" borderId="15" xfId="0" applyFont="1" applyFill="1" applyBorder="1" applyAlignment="1" applyProtection="1">
      <alignment shrinkToFit="1"/>
      <protection locked="0"/>
    </xf>
    <xf numFmtId="0" fontId="0" fillId="7" borderId="2" xfId="0" applyFill="1" applyBorder="1" applyAlignment="1" applyProtection="1">
      <alignment shrinkToFit="1"/>
      <protection locked="0"/>
    </xf>
    <xf numFmtId="0" fontId="0" fillId="7" borderId="2" xfId="0" applyFont="1" applyFill="1" applyBorder="1" applyAlignment="1" applyProtection="1">
      <alignment shrinkToFit="1"/>
      <protection locked="0"/>
    </xf>
    <xf numFmtId="0" fontId="0" fillId="3" borderId="38" xfId="0" applyFill="1" applyBorder="1" applyAlignment="1" applyProtection="1">
      <alignment shrinkToFit="1"/>
      <protection locked="0"/>
    </xf>
    <xf numFmtId="0" fontId="0" fillId="3" borderId="2" xfId="0" applyFill="1" applyBorder="1" applyAlignment="1" applyProtection="1">
      <alignment shrinkToFit="1"/>
      <protection locked="0"/>
    </xf>
    <xf numFmtId="0" fontId="0" fillId="3" borderId="80" xfId="0" applyFill="1" applyBorder="1" applyAlignment="1" applyProtection="1">
      <alignment shrinkToFit="1"/>
      <protection locked="0"/>
    </xf>
    <xf numFmtId="0" fontId="0" fillId="3" borderId="74" xfId="0" applyFill="1" applyBorder="1" applyAlignment="1" applyProtection="1">
      <alignment shrinkToFit="1"/>
      <protection locked="0"/>
    </xf>
    <xf numFmtId="0" fontId="0" fillId="7" borderId="74" xfId="0" applyFill="1" applyBorder="1" applyAlignment="1" applyProtection="1">
      <alignment shrinkToFit="1"/>
      <protection locked="0"/>
    </xf>
    <xf numFmtId="182" fontId="24" fillId="2" borderId="112" xfId="3" applyNumberFormat="1" applyFont="1" applyFill="1" applyBorder="1" applyAlignment="1" applyProtection="1">
      <alignment vertical="center" shrinkToFit="1"/>
      <protection locked="0"/>
    </xf>
    <xf numFmtId="182" fontId="24" fillId="2" borderId="40" xfId="3" applyNumberFormat="1" applyFont="1" applyFill="1" applyBorder="1" applyAlignment="1" applyProtection="1">
      <alignment vertical="center" shrinkToFit="1"/>
      <protection locked="0"/>
    </xf>
    <xf numFmtId="182" fontId="24" fillId="2" borderId="104" xfId="3" applyNumberFormat="1" applyFont="1" applyFill="1" applyBorder="1" applyAlignment="1" applyProtection="1">
      <alignment vertical="center" shrinkToFit="1"/>
      <protection locked="0"/>
    </xf>
    <xf numFmtId="0" fontId="16" fillId="0" borderId="0" xfId="3" applyNumberFormat="1" applyFont="1" applyBorder="1" applyAlignment="1" applyProtection="1">
      <alignment shrinkToFit="1"/>
    </xf>
    <xf numFmtId="0" fontId="12" fillId="2" borderId="196" xfId="3" applyNumberFormat="1" applyFont="1" applyFill="1" applyBorder="1" applyAlignment="1" applyProtection="1">
      <alignment horizontal="center" vertical="center" shrinkToFit="1"/>
    </xf>
    <xf numFmtId="182" fontId="9" fillId="2" borderId="84" xfId="3" applyNumberFormat="1" applyFont="1" applyFill="1" applyBorder="1" applyAlignment="1" applyProtection="1">
      <alignment vertical="center" shrinkToFit="1"/>
      <protection locked="0"/>
    </xf>
    <xf numFmtId="182" fontId="9" fillId="2" borderId="47" xfId="3" applyNumberFormat="1" applyFont="1" applyFill="1" applyBorder="1" applyAlignment="1" applyProtection="1">
      <alignment vertical="center" shrinkToFit="1"/>
      <protection locked="0"/>
    </xf>
    <xf numFmtId="182" fontId="9" fillId="2" borderId="99" xfId="3" applyNumberFormat="1" applyFont="1" applyFill="1" applyBorder="1" applyAlignment="1" applyProtection="1">
      <alignment vertical="center" shrinkToFit="1"/>
      <protection locked="0"/>
    </xf>
    <xf numFmtId="0" fontId="9" fillId="15" borderId="190" xfId="3" applyNumberFormat="1" applyFont="1" applyFill="1" applyBorder="1" applyAlignment="1" applyProtection="1">
      <alignment horizontal="left" vertical="center" shrinkToFit="1"/>
    </xf>
    <xf numFmtId="0" fontId="9" fillId="2" borderId="106" xfId="3" applyNumberFormat="1" applyFont="1" applyFill="1" applyBorder="1" applyAlignment="1" applyProtection="1">
      <alignment horizontal="left" vertical="center" shrinkToFit="1"/>
      <protection locked="0"/>
    </xf>
    <xf numFmtId="0" fontId="9" fillId="2" borderId="107" xfId="3" applyNumberFormat="1" applyFont="1" applyFill="1" applyBorder="1" applyAlignment="1" applyProtection="1">
      <alignment horizontal="left" vertical="center" shrinkToFit="1"/>
      <protection locked="0"/>
    </xf>
    <xf numFmtId="0" fontId="9" fillId="2" borderId="108" xfId="3" applyNumberFormat="1" applyFont="1" applyFill="1" applyBorder="1" applyAlignment="1" applyProtection="1">
      <alignment horizontal="left" vertical="center" shrinkToFit="1"/>
      <protection locked="0"/>
    </xf>
    <xf numFmtId="0" fontId="9" fillId="2" borderId="109" xfId="3" applyNumberFormat="1" applyFont="1" applyFill="1" applyBorder="1" applyAlignment="1" applyProtection="1">
      <alignment horizontal="left" vertical="center" shrinkToFit="1"/>
      <protection locked="0"/>
    </xf>
    <xf numFmtId="0" fontId="9" fillId="2" borderId="84" xfId="3" applyNumberFormat="1" applyFont="1" applyFill="1" applyBorder="1" applyAlignment="1" applyProtection="1">
      <alignment horizontal="left" vertical="center" shrinkToFit="1"/>
      <protection locked="0"/>
    </xf>
    <xf numFmtId="0" fontId="9" fillId="2" borderId="42" xfId="3" applyNumberFormat="1" applyFont="1" applyFill="1" applyBorder="1" applyAlignment="1" applyProtection="1">
      <alignment horizontal="left" vertical="center" shrinkToFit="1"/>
      <protection locked="0"/>
    </xf>
    <xf numFmtId="0" fontId="9" fillId="2" borderId="47" xfId="3" applyNumberFormat="1" applyFont="1" applyFill="1" applyBorder="1" applyAlignment="1" applyProtection="1">
      <alignment horizontal="left" vertical="center" shrinkToFit="1"/>
      <protection locked="0"/>
    </xf>
    <xf numFmtId="0" fontId="9" fillId="2" borderId="47" xfId="3" applyNumberFormat="1" applyFont="1" applyFill="1" applyBorder="1" applyAlignment="1" applyProtection="1">
      <alignment vertical="center" shrinkToFit="1"/>
      <protection locked="0"/>
    </xf>
    <xf numFmtId="182" fontId="9" fillId="2" borderId="47" xfId="3" applyNumberFormat="1" applyFont="1" applyFill="1" applyBorder="1" applyAlignment="1" applyProtection="1">
      <alignment horizontal="left" vertical="center" shrinkToFit="1"/>
      <protection locked="0"/>
    </xf>
    <xf numFmtId="182" fontId="9" fillId="2" borderId="99" xfId="3" applyNumberFormat="1" applyFont="1" applyFill="1" applyBorder="1" applyAlignment="1" applyProtection="1">
      <alignment horizontal="left" vertical="center" shrinkToFit="1"/>
      <protection locked="0"/>
    </xf>
    <xf numFmtId="0" fontId="9" fillId="15" borderId="113" xfId="3" applyNumberFormat="1" applyFont="1" applyFill="1" applyBorder="1" applyAlignment="1" applyProtection="1">
      <alignment horizontal="left" vertical="center" shrinkToFit="1"/>
    </xf>
    <xf numFmtId="182" fontId="9" fillId="0" borderId="47" xfId="3" applyNumberFormat="1" applyFont="1" applyFill="1" applyBorder="1" applyAlignment="1" applyProtection="1">
      <alignment vertical="center" shrinkToFit="1"/>
    </xf>
    <xf numFmtId="14" fontId="9" fillId="2" borderId="99" xfId="3" applyNumberFormat="1" applyFont="1" applyFill="1" applyBorder="1" applyAlignment="1" applyProtection="1">
      <alignment horizontal="left" vertical="center" shrinkToFit="1"/>
      <protection locked="0"/>
    </xf>
    <xf numFmtId="0" fontId="9" fillId="0" borderId="84" xfId="3" applyNumberFormat="1" applyFont="1" applyFill="1" applyBorder="1" applyAlignment="1" applyProtection="1">
      <alignment horizontal="left" vertical="center" shrinkToFit="1"/>
    </xf>
    <xf numFmtId="0" fontId="9" fillId="0" borderId="47" xfId="3" applyNumberFormat="1" applyFont="1" applyFill="1" applyBorder="1" applyAlignment="1" applyProtection="1">
      <alignment horizontal="left" vertical="center" shrinkToFit="1"/>
    </xf>
    <xf numFmtId="0" fontId="9" fillId="0" borderId="47" xfId="3" applyNumberFormat="1" applyFont="1" applyFill="1" applyBorder="1" applyAlignment="1" applyProtection="1">
      <alignment vertical="center" shrinkToFit="1"/>
    </xf>
    <xf numFmtId="0" fontId="9" fillId="2" borderId="99" xfId="3" applyNumberFormat="1" applyFont="1" applyFill="1" applyBorder="1" applyAlignment="1" applyProtection="1">
      <alignment vertical="center" shrinkToFit="1"/>
      <protection locked="0"/>
    </xf>
    <xf numFmtId="0" fontId="23" fillId="0" borderId="0" xfId="3" applyFont="1" applyAlignment="1" applyProtection="1">
      <alignment shrinkToFit="1"/>
    </xf>
    <xf numFmtId="0" fontId="15" fillId="0" borderId="0" xfId="3" applyFont="1" applyAlignment="1" applyProtection="1">
      <alignment shrinkToFit="1"/>
    </xf>
    <xf numFmtId="0" fontId="37" fillId="0" borderId="0" xfId="0" applyFont="1" applyProtection="1"/>
    <xf numFmtId="0" fontId="37" fillId="0" borderId="0" xfId="0" applyFont="1" applyAlignment="1" applyProtection="1">
      <alignment horizontal="center" vertical="center" wrapText="1"/>
    </xf>
    <xf numFmtId="0" fontId="7" fillId="5" borderId="208" xfId="5" applyFont="1" applyFill="1" applyBorder="1" applyAlignment="1">
      <alignment horizontal="center"/>
    </xf>
    <xf numFmtId="182" fontId="9" fillId="2" borderId="84" xfId="3" applyNumberFormat="1" applyFont="1" applyFill="1" applyBorder="1" applyAlignment="1" applyProtection="1">
      <alignment vertical="center"/>
      <protection locked="0"/>
    </xf>
    <xf numFmtId="182" fontId="9" fillId="2" borderId="47" xfId="3" applyNumberFormat="1" applyFont="1" applyFill="1" applyBorder="1" applyAlignment="1" applyProtection="1">
      <alignment vertical="center"/>
      <protection locked="0"/>
    </xf>
    <xf numFmtId="182" fontId="9" fillId="2" borderId="99" xfId="3" applyNumberFormat="1" applyFont="1" applyFill="1" applyBorder="1" applyAlignment="1" applyProtection="1">
      <alignment vertical="center"/>
      <protection locked="0"/>
    </xf>
    <xf numFmtId="0" fontId="9" fillId="15" borderId="190" xfId="3" applyNumberFormat="1" applyFont="1" applyFill="1" applyBorder="1" applyAlignment="1" applyProtection="1">
      <alignment horizontal="left" vertical="center"/>
    </xf>
    <xf numFmtId="9" fontId="23" fillId="15" borderId="209" xfId="1" applyFont="1" applyFill="1" applyBorder="1" applyAlignment="1" applyProtection="1">
      <alignment vertical="center"/>
    </xf>
    <xf numFmtId="182" fontId="24" fillId="15" borderId="210" xfId="3" applyNumberFormat="1" applyFont="1" applyFill="1" applyBorder="1" applyAlignment="1" applyProtection="1">
      <alignment vertical="center"/>
    </xf>
    <xf numFmtId="0" fontId="0" fillId="0" borderId="167" xfId="0" applyBorder="1" applyAlignment="1">
      <alignment vertical="center"/>
    </xf>
    <xf numFmtId="0" fontId="0" fillId="0" borderId="167" xfId="0" applyFont="1" applyBorder="1" applyAlignment="1">
      <alignment vertical="center"/>
    </xf>
    <xf numFmtId="0" fontId="0" fillId="0" borderId="0" xfId="0" applyAlignment="1">
      <alignment horizontal="center" vertical="center"/>
    </xf>
    <xf numFmtId="0" fontId="0" fillId="12" borderId="192" xfId="0" applyFont="1" applyFill="1" applyBorder="1" applyAlignment="1" applyProtection="1">
      <alignment vertical="center"/>
      <protection locked="0"/>
    </xf>
    <xf numFmtId="9" fontId="16" fillId="12" borderId="192" xfId="1" applyFill="1" applyBorder="1" applyAlignment="1" applyProtection="1">
      <alignment horizontal="center" vertical="center"/>
      <protection locked="0"/>
    </xf>
    <xf numFmtId="191" fontId="0" fillId="12" borderId="193" xfId="0" applyNumberFormat="1" applyFont="1" applyFill="1" applyBorder="1" applyAlignment="1" applyProtection="1">
      <alignment vertical="center"/>
      <protection locked="0"/>
    </xf>
    <xf numFmtId="203" fontId="38" fillId="12" borderId="185" xfId="0" applyNumberFormat="1" applyFont="1" applyFill="1" applyBorder="1" applyAlignment="1" applyProtection="1">
      <alignment vertical="center" shrinkToFit="1"/>
      <protection locked="0"/>
    </xf>
    <xf numFmtId="203" fontId="38" fillId="12" borderId="211" xfId="0" applyNumberFormat="1" applyFont="1" applyFill="1" applyBorder="1" applyAlignment="1" applyProtection="1">
      <alignment vertical="center" shrinkToFit="1"/>
      <protection locked="0"/>
    </xf>
    <xf numFmtId="203" fontId="38" fillId="12" borderId="212" xfId="0" applyNumberFormat="1" applyFont="1" applyFill="1" applyBorder="1" applyAlignment="1" applyProtection="1">
      <alignment vertical="center" shrinkToFit="1"/>
      <protection locked="0"/>
    </xf>
    <xf numFmtId="203" fontId="38" fillId="12" borderId="129" xfId="0" applyNumberFormat="1" applyFont="1" applyFill="1" applyBorder="1" applyAlignment="1" applyProtection="1">
      <alignment vertical="center" shrinkToFit="1"/>
      <protection locked="0"/>
    </xf>
    <xf numFmtId="203" fontId="38" fillId="12" borderId="213" xfId="0" applyNumberFormat="1" applyFont="1" applyFill="1" applyBorder="1" applyAlignment="1" applyProtection="1">
      <alignment vertical="center" shrinkToFit="1"/>
      <protection locked="0"/>
    </xf>
    <xf numFmtId="203" fontId="38" fillId="12" borderId="117" xfId="0" applyNumberFormat="1" applyFont="1" applyFill="1" applyBorder="1" applyAlignment="1" applyProtection="1">
      <alignment vertical="center" shrinkToFit="1"/>
      <protection locked="0"/>
    </xf>
    <xf numFmtId="203" fontId="38" fillId="12" borderId="119" xfId="0" applyNumberFormat="1" applyFont="1" applyFill="1" applyBorder="1" applyAlignment="1" applyProtection="1">
      <alignment vertical="center" shrinkToFit="1"/>
      <protection locked="0"/>
    </xf>
    <xf numFmtId="203" fontId="38" fillId="0" borderId="131" xfId="0" applyNumberFormat="1" applyFont="1" applyBorder="1" applyAlignment="1" applyProtection="1">
      <alignment vertical="center" shrinkToFit="1"/>
    </xf>
    <xf numFmtId="203" fontId="38" fillId="0" borderId="216" xfId="0" applyNumberFormat="1" applyFont="1" applyBorder="1" applyAlignment="1" applyProtection="1">
      <alignment vertical="center" shrinkToFit="1"/>
    </xf>
    <xf numFmtId="203" fontId="38" fillId="0" borderId="217" xfId="0" applyNumberFormat="1" applyFont="1" applyBorder="1" applyAlignment="1" applyProtection="1">
      <alignment vertical="center" shrinkToFit="1"/>
    </xf>
    <xf numFmtId="203" fontId="38" fillId="0" borderId="218" xfId="0" applyNumberFormat="1" applyFont="1" applyBorder="1" applyAlignment="1" applyProtection="1">
      <alignment vertical="center" shrinkToFit="1"/>
    </xf>
    <xf numFmtId="203" fontId="38" fillId="0" borderId="219" xfId="0" applyNumberFormat="1" applyFont="1" applyBorder="1" applyAlignment="1" applyProtection="1">
      <alignment vertical="center" shrinkToFit="1"/>
    </xf>
    <xf numFmtId="203" fontId="38" fillId="0" borderId="220" xfId="0" applyNumberFormat="1" applyFont="1" applyBorder="1" applyAlignment="1" applyProtection="1">
      <alignment vertical="center" shrinkToFit="1"/>
    </xf>
    <xf numFmtId="203" fontId="38" fillId="12" borderId="130" xfId="0" applyNumberFormat="1" applyFont="1" applyFill="1" applyBorder="1" applyAlignment="1" applyProtection="1">
      <alignment vertical="center" shrinkToFit="1"/>
      <protection locked="0"/>
    </xf>
    <xf numFmtId="0" fontId="23" fillId="0" borderId="221" xfId="0" applyFont="1" applyBorder="1" applyAlignment="1" applyProtection="1">
      <alignment horizontal="center" vertical="center" shrinkToFit="1"/>
    </xf>
    <xf numFmtId="203" fontId="38" fillId="0" borderId="205" xfId="0" applyNumberFormat="1" applyFont="1" applyBorder="1" applyAlignment="1" applyProtection="1">
      <alignment vertical="center" shrinkToFit="1"/>
    </xf>
    <xf numFmtId="0" fontId="23" fillId="0" borderId="222" xfId="0" applyFont="1" applyBorder="1" applyAlignment="1" applyProtection="1">
      <alignment horizontal="center" shrinkToFit="1"/>
    </xf>
    <xf numFmtId="203" fontId="38" fillId="0" borderId="223" xfId="0" applyNumberFormat="1" applyFont="1" applyBorder="1" applyAlignment="1" applyProtection="1">
      <alignment vertical="center" shrinkToFit="1"/>
    </xf>
    <xf numFmtId="203" fontId="38" fillId="0" borderId="224" xfId="0" applyNumberFormat="1" applyFont="1" applyBorder="1" applyAlignment="1" applyProtection="1">
      <alignment vertical="center" shrinkToFit="1"/>
    </xf>
    <xf numFmtId="203" fontId="38" fillId="0" borderId="225" xfId="0" applyNumberFormat="1" applyFont="1" applyBorder="1" applyAlignment="1" applyProtection="1">
      <alignment vertical="center" shrinkToFit="1"/>
    </xf>
    <xf numFmtId="203" fontId="38" fillId="0" borderId="226" xfId="0" applyNumberFormat="1" applyFont="1" applyBorder="1" applyAlignment="1" applyProtection="1">
      <alignment vertical="center" shrinkToFit="1"/>
    </xf>
    <xf numFmtId="203" fontId="38" fillId="0" borderId="227" xfId="0" applyNumberFormat="1" applyFont="1" applyBorder="1" applyAlignment="1" applyProtection="1">
      <alignment vertical="center" shrinkToFit="1"/>
    </xf>
    <xf numFmtId="203" fontId="38" fillId="0" borderId="228" xfId="0" applyNumberFormat="1" applyFont="1" applyBorder="1" applyAlignment="1" applyProtection="1">
      <alignment vertical="center" shrinkToFit="1"/>
    </xf>
    <xf numFmtId="0" fontId="0" fillId="12" borderId="230" xfId="0" applyFont="1" applyFill="1" applyBorder="1" applyAlignment="1" applyProtection="1">
      <alignment shrinkToFit="1"/>
      <protection locked="0"/>
    </xf>
    <xf numFmtId="0" fontId="0" fillId="12" borderId="231" xfId="0" applyFont="1" applyFill="1" applyBorder="1" applyAlignment="1" applyProtection="1">
      <alignment shrinkToFit="1"/>
      <protection locked="0"/>
    </xf>
    <xf numFmtId="0" fontId="0" fillId="17" borderId="181" xfId="0" applyFont="1" applyFill="1" applyBorder="1" applyAlignment="1" applyProtection="1">
      <alignment shrinkToFit="1"/>
      <protection locked="0"/>
    </xf>
    <xf numFmtId="0" fontId="0" fillId="12" borderId="192" xfId="0" applyFill="1" applyBorder="1" applyAlignment="1" applyProtection="1">
      <alignment vertical="center"/>
      <protection locked="0"/>
    </xf>
    <xf numFmtId="0" fontId="23" fillId="12" borderId="6" xfId="0" applyFont="1" applyFill="1" applyBorder="1" applyAlignment="1" applyProtection="1">
      <alignment vertical="top" wrapText="1" shrinkToFit="1"/>
      <protection locked="0"/>
    </xf>
    <xf numFmtId="0" fontId="23" fillId="12" borderId="10" xfId="0" applyFont="1" applyFill="1" applyBorder="1" applyAlignment="1" applyProtection="1">
      <alignment vertical="top" wrapText="1" shrinkToFit="1"/>
      <protection locked="0"/>
    </xf>
    <xf numFmtId="0" fontId="21" fillId="12" borderId="174" xfId="0" applyFont="1" applyFill="1" applyBorder="1" applyAlignment="1" applyProtection="1">
      <alignment shrinkToFit="1"/>
      <protection locked="0"/>
    </xf>
    <xf numFmtId="0" fontId="23" fillId="12" borderId="7" xfId="0" applyFont="1" applyFill="1" applyBorder="1" applyAlignment="1" applyProtection="1">
      <alignment vertical="top" wrapText="1"/>
      <protection locked="0"/>
    </xf>
    <xf numFmtId="0" fontId="0" fillId="3" borderId="232" xfId="0" applyFont="1" applyFill="1" applyBorder="1" applyAlignment="1" applyProtection="1">
      <alignment shrinkToFit="1"/>
      <protection locked="0"/>
    </xf>
    <xf numFmtId="0" fontId="0" fillId="3" borderId="233" xfId="0" applyFont="1" applyFill="1" applyBorder="1" applyAlignment="1" applyProtection="1">
      <alignment shrinkToFit="1"/>
      <protection locked="0"/>
    </xf>
    <xf numFmtId="0" fontId="0" fillId="7" borderId="233" xfId="0" applyFont="1" applyFill="1" applyBorder="1" applyAlignment="1" applyProtection="1">
      <alignment shrinkToFit="1"/>
      <protection locked="0"/>
    </xf>
    <xf numFmtId="40" fontId="0" fillId="2" borderId="233" xfId="2" applyNumberFormat="1" applyFont="1" applyFill="1" applyBorder="1" applyAlignment="1" applyProtection="1">
      <protection locked="0"/>
    </xf>
    <xf numFmtId="0" fontId="0" fillId="3" borderId="233" xfId="0" applyFont="1" applyFill="1" applyBorder="1" applyProtection="1">
      <protection locked="0"/>
    </xf>
    <xf numFmtId="179" fontId="0" fillId="2" borderId="233" xfId="2" applyNumberFormat="1" applyFont="1" applyFill="1" applyBorder="1" applyAlignment="1" applyProtection="1">
      <protection locked="0"/>
    </xf>
    <xf numFmtId="40" fontId="0" fillId="0" borderId="234" xfId="2" applyNumberFormat="1" applyFont="1" applyFill="1" applyBorder="1" applyAlignment="1" applyProtection="1"/>
    <xf numFmtId="0" fontId="21" fillId="3" borderId="232" xfId="0" applyFont="1" applyFill="1" applyBorder="1" applyAlignment="1" applyProtection="1">
      <alignment shrinkToFit="1"/>
      <protection locked="0"/>
    </xf>
    <xf numFmtId="0" fontId="0" fillId="3" borderId="232" xfId="0" applyFill="1" applyBorder="1" applyAlignment="1" applyProtection="1">
      <alignment shrinkToFit="1"/>
      <protection locked="0"/>
    </xf>
    <xf numFmtId="0" fontId="0" fillId="3" borderId="233" xfId="0" applyFill="1" applyBorder="1" applyAlignment="1" applyProtection="1">
      <alignment shrinkToFit="1"/>
      <protection locked="0"/>
    </xf>
    <xf numFmtId="0" fontId="0" fillId="7" borderId="233" xfId="0" applyFill="1" applyBorder="1" applyAlignment="1" applyProtection="1">
      <alignment shrinkToFit="1"/>
      <protection locked="0"/>
    </xf>
    <xf numFmtId="199" fontId="0" fillId="0" borderId="233" xfId="2" applyNumberFormat="1" applyFont="1" applyFill="1" applyBorder="1" applyAlignment="1" applyProtection="1"/>
    <xf numFmtId="0" fontId="0" fillId="3" borderId="233" xfId="0" applyFill="1" applyBorder="1" applyProtection="1">
      <protection locked="0"/>
    </xf>
    <xf numFmtId="0" fontId="23" fillId="12" borderId="155" xfId="0" applyFont="1" applyFill="1" applyBorder="1" applyAlignment="1" applyProtection="1">
      <alignment vertical="top" shrinkToFit="1"/>
      <protection locked="0"/>
    </xf>
    <xf numFmtId="0" fontId="23" fillId="12" borderId="235" xfId="0" applyFont="1" applyFill="1" applyBorder="1" applyAlignment="1" applyProtection="1">
      <alignment vertical="top" shrinkToFit="1"/>
      <protection locked="0"/>
    </xf>
    <xf numFmtId="0" fontId="9" fillId="2" borderId="236" xfId="3" applyNumberFormat="1" applyFont="1" applyFill="1" applyBorder="1" applyAlignment="1" applyProtection="1">
      <alignment horizontal="left" vertical="center" shrinkToFit="1"/>
      <protection locked="0"/>
    </xf>
    <xf numFmtId="0" fontId="9" fillId="2" borderId="238" xfId="3" applyNumberFormat="1" applyFont="1" applyFill="1" applyBorder="1" applyAlignment="1" applyProtection="1">
      <alignment horizontal="left" vertical="center" shrinkToFit="1"/>
      <protection locked="0"/>
    </xf>
    <xf numFmtId="181" fontId="23" fillId="2" borderId="197" xfId="3" applyNumberFormat="1" applyFont="1" applyFill="1" applyBorder="1" applyAlignment="1" applyProtection="1">
      <alignment vertical="center"/>
      <protection locked="0"/>
    </xf>
    <xf numFmtId="181" fontId="23" fillId="2" borderId="239" xfId="3" applyNumberFormat="1" applyFont="1" applyFill="1" applyBorder="1" applyAlignment="1" applyProtection="1">
      <alignment vertical="center"/>
      <protection locked="0"/>
    </xf>
    <xf numFmtId="0" fontId="9" fillId="3" borderId="197" xfId="3" applyNumberFormat="1" applyFont="1" applyFill="1" applyBorder="1" applyAlignment="1" applyProtection="1">
      <alignment horizontal="center" vertical="center"/>
      <protection locked="0"/>
    </xf>
    <xf numFmtId="0" fontId="9" fillId="3" borderId="239" xfId="3" applyNumberFormat="1" applyFont="1" applyFill="1" applyBorder="1" applyAlignment="1" applyProtection="1">
      <alignment horizontal="center" vertical="center"/>
      <protection locked="0"/>
    </xf>
    <xf numFmtId="200" fontId="23" fillId="2" borderId="240" xfId="3" applyNumberFormat="1" applyFont="1" applyFill="1" applyBorder="1" applyAlignment="1" applyProtection="1">
      <alignment vertical="center"/>
      <protection locked="0"/>
    </xf>
    <xf numFmtId="3" fontId="23" fillId="2" borderId="240" xfId="3" applyNumberFormat="1" applyFont="1" applyFill="1" applyBorder="1" applyAlignment="1" applyProtection="1">
      <alignment horizontal="center" vertical="center"/>
      <protection locked="0"/>
    </xf>
    <xf numFmtId="9" fontId="23" fillId="2" borderId="240" xfId="1" applyNumberFormat="1" applyFont="1" applyFill="1" applyBorder="1" applyAlignment="1" applyProtection="1">
      <alignment horizontal="center" vertical="center"/>
      <protection locked="0"/>
    </xf>
    <xf numFmtId="181" fontId="23" fillId="0" borderId="240" xfId="3" applyNumberFormat="1" applyFont="1" applyFill="1" applyBorder="1" applyAlignment="1" applyProtection="1">
      <alignment vertical="center"/>
    </xf>
    <xf numFmtId="3" fontId="23" fillId="0" borderId="240" xfId="3" applyNumberFormat="1" applyFont="1" applyFill="1" applyBorder="1" applyAlignment="1" applyProtection="1">
      <alignment vertical="center"/>
    </xf>
    <xf numFmtId="0" fontId="23" fillId="12" borderId="10" xfId="0" applyFont="1" applyFill="1" applyBorder="1" applyAlignment="1" applyProtection="1">
      <alignment vertical="center" shrinkToFit="1"/>
      <protection locked="0"/>
    </xf>
    <xf numFmtId="0" fontId="23" fillId="0" borderId="155" xfId="7" applyFont="1" applyBorder="1" applyAlignment="1" applyProtection="1">
      <alignment horizontal="center" vertical="center" textRotation="255" wrapText="1"/>
    </xf>
    <xf numFmtId="3" fontId="39" fillId="12" borderId="23" xfId="7" applyNumberFormat="1" applyFont="1" applyFill="1" applyBorder="1" applyAlignment="1" applyProtection="1">
      <alignment vertical="center" shrinkToFit="1"/>
      <protection locked="0"/>
    </xf>
    <xf numFmtId="0" fontId="9" fillId="2" borderId="241" xfId="3" applyNumberFormat="1" applyFont="1" applyFill="1" applyBorder="1" applyAlignment="1" applyProtection="1">
      <alignment horizontal="left" vertical="center" shrinkToFit="1"/>
      <protection locked="0"/>
    </xf>
    <xf numFmtId="181" fontId="23" fillId="2" borderId="242" xfId="3" applyNumberFormat="1" applyFont="1" applyFill="1" applyBorder="1" applyAlignment="1" applyProtection="1">
      <alignment vertical="center"/>
      <protection locked="0"/>
    </xf>
    <xf numFmtId="0" fontId="9" fillId="3" borderId="242" xfId="3" applyNumberFormat="1" applyFont="1" applyFill="1" applyBorder="1" applyAlignment="1" applyProtection="1">
      <alignment horizontal="center" vertical="center"/>
      <protection locked="0"/>
    </xf>
    <xf numFmtId="200" fontId="23" fillId="2" borderId="242" xfId="3" applyNumberFormat="1" applyFont="1" applyFill="1" applyBorder="1" applyAlignment="1" applyProtection="1">
      <alignment vertical="center"/>
      <protection locked="0"/>
    </xf>
    <xf numFmtId="3" fontId="23" fillId="2" borderId="242" xfId="3" applyNumberFormat="1" applyFont="1" applyFill="1" applyBorder="1" applyAlignment="1" applyProtection="1">
      <alignment horizontal="center" vertical="center"/>
      <protection locked="0"/>
    </xf>
    <xf numFmtId="9" fontId="23" fillId="2" borderId="242" xfId="1" applyNumberFormat="1" applyFont="1" applyFill="1" applyBorder="1" applyAlignment="1" applyProtection="1">
      <alignment horizontal="center" vertical="center"/>
      <protection locked="0"/>
    </xf>
    <xf numFmtId="181" fontId="23" fillId="0" borderId="242" xfId="3" applyNumberFormat="1" applyFont="1" applyFill="1" applyBorder="1" applyAlignment="1" applyProtection="1">
      <alignment vertical="center"/>
    </xf>
    <xf numFmtId="3" fontId="23" fillId="0" borderId="242" xfId="3" applyNumberFormat="1" applyFont="1" applyFill="1" applyBorder="1" applyAlignment="1" applyProtection="1">
      <alignment vertical="center"/>
    </xf>
    <xf numFmtId="181" fontId="23" fillId="2" borderId="243" xfId="3" applyNumberFormat="1" applyFont="1" applyFill="1" applyBorder="1" applyAlignment="1" applyProtection="1">
      <alignment vertical="center"/>
      <protection locked="0"/>
    </xf>
    <xf numFmtId="0" fontId="9" fillId="3" borderId="243" xfId="3" applyNumberFormat="1" applyFont="1" applyFill="1" applyBorder="1" applyAlignment="1" applyProtection="1">
      <alignment horizontal="center" vertical="center"/>
      <protection locked="0"/>
    </xf>
    <xf numFmtId="200" fontId="23" fillId="2" borderId="243" xfId="3" applyNumberFormat="1" applyFont="1" applyFill="1" applyBorder="1" applyAlignment="1" applyProtection="1">
      <alignment vertical="center"/>
      <protection locked="0"/>
    </xf>
    <xf numFmtId="3" fontId="23" fillId="2" borderId="243" xfId="3" applyNumberFormat="1" applyFont="1" applyFill="1" applyBorder="1" applyAlignment="1" applyProtection="1">
      <alignment horizontal="center" vertical="center"/>
      <protection locked="0"/>
    </xf>
    <xf numFmtId="9" fontId="23" fillId="2" borderId="243" xfId="1" applyNumberFormat="1" applyFont="1" applyFill="1" applyBorder="1" applyAlignment="1" applyProtection="1">
      <alignment horizontal="center" vertical="center"/>
      <protection locked="0"/>
    </xf>
    <xf numFmtId="181" fontId="23" fillId="0" borderId="243" xfId="3" applyNumberFormat="1" applyFont="1" applyFill="1" applyBorder="1" applyAlignment="1" applyProtection="1">
      <alignment vertical="center"/>
    </xf>
    <xf numFmtId="3" fontId="23" fillId="0" borderId="243" xfId="3" applyNumberFormat="1" applyFont="1" applyFill="1" applyBorder="1" applyAlignment="1" applyProtection="1">
      <alignment vertical="center"/>
    </xf>
    <xf numFmtId="38" fontId="23" fillId="2" borderId="243" xfId="2" applyFont="1" applyFill="1" applyBorder="1" applyAlignment="1" applyProtection="1">
      <alignment vertical="center"/>
      <protection locked="0"/>
    </xf>
    <xf numFmtId="38" fontId="23" fillId="3" borderId="243" xfId="2" applyFont="1" applyFill="1" applyBorder="1" applyAlignment="1" applyProtection="1">
      <alignment horizontal="center" vertical="center"/>
      <protection locked="0"/>
    </xf>
    <xf numFmtId="38" fontId="23" fillId="11" borderId="243" xfId="2" applyFont="1" applyFill="1" applyBorder="1" applyAlignment="1" applyProtection="1">
      <alignment vertical="center"/>
      <protection locked="0"/>
    </xf>
    <xf numFmtId="38" fontId="23" fillId="2" borderId="244" xfId="2" applyFont="1" applyFill="1" applyBorder="1" applyAlignment="1" applyProtection="1">
      <alignment vertical="center"/>
      <protection locked="0"/>
    </xf>
    <xf numFmtId="9" fontId="23" fillId="2" borderId="245" xfId="1" applyFont="1" applyFill="1" applyBorder="1" applyAlignment="1" applyProtection="1">
      <alignment vertical="center"/>
      <protection locked="0"/>
    </xf>
    <xf numFmtId="9" fontId="23" fillId="2" borderId="243" xfId="1" applyFont="1" applyFill="1" applyBorder="1" applyAlignment="1" applyProtection="1">
      <alignment vertical="center"/>
      <protection locked="0"/>
    </xf>
    <xf numFmtId="9" fontId="23" fillId="2" borderId="246" xfId="1" applyFont="1" applyFill="1" applyBorder="1" applyAlignment="1" applyProtection="1">
      <alignment vertical="center"/>
      <protection locked="0"/>
    </xf>
    <xf numFmtId="181" fontId="23" fillId="7" borderId="247" xfId="3" applyNumberFormat="1" applyFont="1" applyFill="1" applyBorder="1" applyAlignment="1" applyProtection="1">
      <alignment vertical="center"/>
      <protection locked="0"/>
    </xf>
    <xf numFmtId="181" fontId="23" fillId="7" borderId="243" xfId="3" applyNumberFormat="1" applyFont="1" applyFill="1" applyBorder="1" applyAlignment="1" applyProtection="1">
      <alignment vertical="center"/>
      <protection locked="0"/>
    </xf>
    <xf numFmtId="181" fontId="23" fillId="7" borderId="244" xfId="3" applyNumberFormat="1" applyFont="1" applyFill="1" applyBorder="1" applyAlignment="1" applyProtection="1">
      <alignment vertical="center"/>
      <protection locked="0"/>
    </xf>
    <xf numFmtId="182" fontId="24" fillId="2" borderId="248" xfId="3" applyNumberFormat="1" applyFont="1" applyFill="1" applyBorder="1" applyAlignment="1" applyProtection="1">
      <alignment vertical="center"/>
      <protection locked="0"/>
    </xf>
    <xf numFmtId="0" fontId="9" fillId="2" borderId="249" xfId="3" applyNumberFormat="1" applyFont="1" applyFill="1" applyBorder="1" applyAlignment="1" applyProtection="1">
      <alignment horizontal="left" vertical="center" shrinkToFit="1"/>
      <protection locked="0"/>
    </xf>
    <xf numFmtId="181" fontId="23" fillId="2" borderId="43" xfId="3" applyNumberFormat="1" applyFont="1" applyFill="1" applyBorder="1" applyAlignment="1" applyProtection="1">
      <alignment vertical="center"/>
      <protection locked="0"/>
    </xf>
    <xf numFmtId="0" fontId="9" fillId="3" borderId="43" xfId="3" applyNumberFormat="1" applyFont="1" applyFill="1" applyBorder="1" applyAlignment="1" applyProtection="1">
      <alignment horizontal="center" vertical="center"/>
      <protection locked="0"/>
    </xf>
    <xf numFmtId="200" fontId="23" fillId="2" borderId="43" xfId="3" applyNumberFormat="1" applyFont="1" applyFill="1" applyBorder="1" applyAlignment="1" applyProtection="1">
      <alignment vertical="center"/>
      <protection locked="0"/>
    </xf>
    <xf numFmtId="3" fontId="23" fillId="2" borderId="43" xfId="3" applyNumberFormat="1" applyFont="1" applyFill="1" applyBorder="1" applyAlignment="1" applyProtection="1">
      <alignment horizontal="center" vertical="center"/>
      <protection locked="0"/>
    </xf>
    <xf numFmtId="9" fontId="23" fillId="2" borderId="43" xfId="1" applyNumberFormat="1" applyFont="1" applyFill="1" applyBorder="1" applyAlignment="1" applyProtection="1">
      <alignment horizontal="center" vertical="center"/>
      <protection locked="0"/>
    </xf>
    <xf numFmtId="181" fontId="23" fillId="0" borderId="43" xfId="3" applyNumberFormat="1" applyFont="1" applyFill="1" applyBorder="1" applyAlignment="1" applyProtection="1">
      <alignment vertical="center"/>
    </xf>
    <xf numFmtId="3" fontId="23" fillId="0" borderId="43" xfId="3" applyNumberFormat="1" applyFont="1" applyFill="1" applyBorder="1" applyAlignment="1" applyProtection="1">
      <alignment vertical="center"/>
    </xf>
    <xf numFmtId="38" fontId="23" fillId="2" borderId="43" xfId="2" applyFont="1" applyFill="1" applyBorder="1" applyAlignment="1" applyProtection="1">
      <alignment vertical="center"/>
      <protection locked="0"/>
    </xf>
    <xf numFmtId="38" fontId="23" fillId="3" borderId="43" xfId="2" applyFont="1" applyFill="1" applyBorder="1" applyAlignment="1" applyProtection="1">
      <alignment horizontal="center" vertical="center"/>
      <protection locked="0"/>
    </xf>
    <xf numFmtId="38" fontId="23" fillId="11" borderId="43" xfId="2" applyFont="1" applyFill="1" applyBorder="1" applyAlignment="1" applyProtection="1">
      <alignment vertical="center"/>
      <protection locked="0"/>
    </xf>
    <xf numFmtId="38" fontId="23" fillId="2" borderId="250" xfId="2" applyFont="1" applyFill="1" applyBorder="1" applyAlignment="1" applyProtection="1">
      <alignment vertical="center"/>
      <protection locked="0"/>
    </xf>
    <xf numFmtId="9" fontId="23" fillId="2" borderId="251" xfId="1" applyFont="1" applyFill="1" applyBorder="1" applyAlignment="1" applyProtection="1">
      <alignment vertical="center"/>
      <protection locked="0"/>
    </xf>
    <xf numFmtId="9" fontId="23" fillId="2" borderId="43" xfId="1" applyFont="1" applyFill="1" applyBorder="1" applyAlignment="1" applyProtection="1">
      <alignment vertical="center"/>
      <protection locked="0"/>
    </xf>
    <xf numFmtId="9" fontId="23" fillId="2" borderId="252" xfId="1" applyFont="1" applyFill="1" applyBorder="1" applyAlignment="1" applyProtection="1">
      <alignment vertical="center"/>
      <protection locked="0"/>
    </xf>
    <xf numFmtId="181" fontId="23" fillId="7" borderId="55" xfId="3" applyNumberFormat="1" applyFont="1" applyFill="1" applyBorder="1" applyAlignment="1" applyProtection="1">
      <alignment vertical="center"/>
      <protection locked="0"/>
    </xf>
    <xf numFmtId="181" fontId="23" fillId="7" borderId="43" xfId="3" applyNumberFormat="1" applyFont="1" applyFill="1" applyBorder="1" applyAlignment="1" applyProtection="1">
      <alignment vertical="center"/>
      <protection locked="0"/>
    </xf>
    <xf numFmtId="181" fontId="23" fillId="7" borderId="250" xfId="3" applyNumberFormat="1" applyFont="1" applyFill="1" applyBorder="1" applyAlignment="1" applyProtection="1">
      <alignment vertical="center"/>
      <protection locked="0"/>
    </xf>
    <xf numFmtId="182" fontId="24" fillId="2" borderId="253" xfId="3" applyNumberFormat="1" applyFont="1" applyFill="1" applyBorder="1" applyAlignment="1" applyProtection="1">
      <alignment vertical="center"/>
      <protection locked="0"/>
    </xf>
    <xf numFmtId="182" fontId="24" fillId="2" borderId="91" xfId="3" applyNumberFormat="1" applyFont="1" applyFill="1" applyBorder="1" applyAlignment="1" applyProtection="1">
      <alignment vertical="center" shrinkToFit="1"/>
      <protection locked="0"/>
    </xf>
    <xf numFmtId="182" fontId="24" fillId="2" borderId="255" xfId="3" applyNumberFormat="1" applyFont="1" applyFill="1" applyBorder="1" applyAlignment="1" applyProtection="1">
      <alignment vertical="center" shrinkToFit="1"/>
      <protection locked="0"/>
    </xf>
    <xf numFmtId="182" fontId="24" fillId="2" borderId="256" xfId="3" applyNumberFormat="1" applyFont="1" applyFill="1" applyBorder="1" applyAlignment="1" applyProtection="1">
      <alignment vertical="center" shrinkToFit="1"/>
      <protection locked="0"/>
    </xf>
    <xf numFmtId="0" fontId="9" fillId="2" borderId="105" xfId="3" applyNumberFormat="1" applyFont="1" applyFill="1" applyBorder="1" applyAlignment="1" applyProtection="1">
      <alignment horizontal="left" vertical="center"/>
      <protection locked="0"/>
    </xf>
    <xf numFmtId="0" fontId="9" fillId="2" borderId="106" xfId="3" applyNumberFormat="1" applyFont="1" applyFill="1" applyBorder="1" applyAlignment="1" applyProtection="1">
      <alignment horizontal="left" vertical="center"/>
      <protection locked="0"/>
    </xf>
    <xf numFmtId="0" fontId="9" fillId="2" borderId="107" xfId="3" applyNumberFormat="1" applyFont="1" applyFill="1" applyBorder="1" applyAlignment="1" applyProtection="1">
      <alignment horizontal="left" vertical="center"/>
      <protection locked="0"/>
    </xf>
    <xf numFmtId="0" fontId="9" fillId="2" borderId="108" xfId="3" applyNumberFormat="1" applyFont="1" applyFill="1" applyBorder="1" applyAlignment="1" applyProtection="1">
      <alignment horizontal="left" vertical="center"/>
      <protection locked="0"/>
    </xf>
    <xf numFmtId="0" fontId="0" fillId="2" borderId="257" xfId="0" applyFont="1" applyFill="1" applyBorder="1" applyProtection="1">
      <protection locked="0"/>
    </xf>
    <xf numFmtId="40" fontId="0" fillId="2" borderId="257" xfId="2" applyNumberFormat="1" applyFont="1" applyFill="1" applyBorder="1" applyAlignment="1" applyProtection="1">
      <protection locked="0"/>
    </xf>
    <xf numFmtId="199" fontId="0" fillId="0" borderId="257" xfId="2" applyNumberFormat="1" applyFont="1" applyFill="1" applyBorder="1" applyAlignment="1" applyProtection="1"/>
    <xf numFmtId="0" fontId="23" fillId="2" borderId="9" xfId="7" applyFont="1" applyFill="1" applyBorder="1" applyAlignment="1" applyProtection="1">
      <alignment vertical="center"/>
      <protection locked="0"/>
    </xf>
    <xf numFmtId="0" fontId="23" fillId="2" borderId="11" xfId="7" applyFont="1" applyFill="1" applyBorder="1" applyAlignment="1" applyProtection="1">
      <alignment vertical="center"/>
      <protection locked="0"/>
    </xf>
    <xf numFmtId="38" fontId="16" fillId="12" borderId="133" xfId="2" applyFill="1" applyBorder="1" applyAlignment="1" applyProtection="1">
      <alignment vertical="center"/>
      <protection locked="0"/>
    </xf>
    <xf numFmtId="38" fontId="16" fillId="12" borderId="182" xfId="2" applyFill="1" applyBorder="1" applyAlignment="1" applyProtection="1">
      <alignment vertical="center"/>
      <protection locked="0"/>
    </xf>
    <xf numFmtId="38" fontId="16" fillId="17" borderId="178" xfId="2" applyFill="1" applyBorder="1" applyAlignment="1">
      <alignment vertical="center"/>
    </xf>
    <xf numFmtId="38" fontId="16" fillId="12" borderId="116" xfId="2" applyFont="1" applyFill="1" applyBorder="1" applyAlignment="1" applyProtection="1">
      <alignment vertical="center"/>
      <protection locked="0"/>
    </xf>
    <xf numFmtId="38" fontId="16" fillId="12" borderId="166" xfId="2" applyFont="1" applyFill="1" applyBorder="1" applyAlignment="1" applyProtection="1">
      <alignment vertical="center"/>
      <protection locked="0"/>
    </xf>
    <xf numFmtId="38" fontId="16" fillId="12" borderId="183" xfId="2" applyFont="1" applyFill="1" applyBorder="1" applyAlignment="1" applyProtection="1">
      <alignment vertical="center"/>
      <protection locked="0"/>
    </xf>
    <xf numFmtId="0" fontId="0" fillId="12" borderId="174" xfId="0" applyFont="1" applyFill="1" applyBorder="1" applyAlignment="1" applyProtection="1">
      <alignment shrinkToFit="1"/>
      <protection locked="0"/>
    </xf>
    <xf numFmtId="0" fontId="0" fillId="12" borderId="258" xfId="0" applyFont="1" applyFill="1" applyBorder="1" applyAlignment="1" applyProtection="1">
      <alignment shrinkToFit="1"/>
      <protection locked="0"/>
    </xf>
    <xf numFmtId="182" fontId="9" fillId="0" borderId="84" xfId="3" applyNumberFormat="1" applyFont="1" applyFill="1" applyBorder="1" applyAlignment="1" applyProtection="1">
      <alignment vertical="center" shrinkToFit="1"/>
    </xf>
    <xf numFmtId="182" fontId="9" fillId="0" borderId="84" xfId="3" applyNumberFormat="1" applyFont="1" applyFill="1" applyBorder="1" applyAlignment="1" applyProtection="1">
      <alignment horizontal="center" vertical="center"/>
    </xf>
    <xf numFmtId="0" fontId="4" fillId="0" borderId="259" xfId="0" applyFont="1" applyBorder="1" applyProtection="1"/>
    <xf numFmtId="0" fontId="9" fillId="2" borderId="23" xfId="7" applyFont="1" applyFill="1" applyBorder="1" applyAlignment="1" applyProtection="1">
      <alignment vertical="center"/>
      <protection locked="0"/>
    </xf>
    <xf numFmtId="0" fontId="9" fillId="2" borderId="23" xfId="7" applyFont="1" applyFill="1" applyBorder="1" applyAlignment="1" applyProtection="1">
      <alignment vertical="center" shrinkToFit="1"/>
      <protection locked="0"/>
    </xf>
    <xf numFmtId="191" fontId="16" fillId="19" borderId="260" xfId="12" applyNumberFormat="1" applyFont="1" applyFill="1" applyBorder="1" applyProtection="1">
      <protection locked="0"/>
    </xf>
    <xf numFmtId="181" fontId="23" fillId="0" borderId="261" xfId="3" applyNumberFormat="1" applyFont="1" applyFill="1" applyBorder="1" applyAlignment="1" applyProtection="1">
      <alignment vertical="center"/>
    </xf>
    <xf numFmtId="182" fontId="9" fillId="0" borderId="261" xfId="3" applyNumberFormat="1" applyFont="1" applyFill="1" applyBorder="1" applyAlignment="1" applyProtection="1">
      <alignment horizontal="center" vertical="center"/>
    </xf>
    <xf numFmtId="200" fontId="23" fillId="0" borderId="261" xfId="3" applyNumberFormat="1" applyFont="1" applyFill="1" applyBorder="1" applyAlignment="1" applyProtection="1">
      <alignment vertical="center"/>
    </xf>
    <xf numFmtId="3" fontId="23" fillId="0" borderId="261" xfId="3" applyNumberFormat="1" applyFont="1" applyFill="1" applyBorder="1" applyAlignment="1" applyProtection="1">
      <alignment horizontal="center" vertical="center"/>
    </xf>
    <xf numFmtId="9" fontId="23" fillId="0" borderId="261" xfId="1" applyNumberFormat="1" applyFont="1" applyFill="1" applyBorder="1" applyAlignment="1" applyProtection="1">
      <alignment horizontal="center" vertical="center"/>
    </xf>
    <xf numFmtId="4" fontId="23" fillId="0" borderId="261" xfId="3" applyNumberFormat="1" applyFont="1" applyFill="1" applyBorder="1" applyAlignment="1" applyProtection="1">
      <alignment vertical="center"/>
    </xf>
    <xf numFmtId="38" fontId="23" fillId="2" borderId="261" xfId="2" applyFont="1" applyFill="1" applyBorder="1" applyAlignment="1" applyProtection="1">
      <alignment vertical="center"/>
      <protection locked="0"/>
    </xf>
    <xf numFmtId="38" fontId="23" fillId="3" borderId="261" xfId="2" applyFont="1" applyFill="1" applyBorder="1" applyAlignment="1" applyProtection="1">
      <alignment horizontal="center" vertical="center"/>
      <protection locked="0"/>
    </xf>
    <xf numFmtId="38" fontId="23" fillId="11" borderId="261" xfId="2" applyFont="1" applyFill="1" applyBorder="1" applyAlignment="1" applyProtection="1">
      <alignment vertical="center"/>
      <protection locked="0"/>
    </xf>
    <xf numFmtId="38" fontId="23" fillId="2" borderId="262" xfId="2" applyFont="1" applyFill="1" applyBorder="1" applyAlignment="1" applyProtection="1">
      <alignment vertical="center"/>
      <protection locked="0"/>
    </xf>
    <xf numFmtId="9" fontId="23" fillId="2" borderId="263" xfId="1" applyFont="1" applyFill="1" applyBorder="1" applyAlignment="1" applyProtection="1">
      <alignment vertical="center"/>
      <protection locked="0"/>
    </xf>
    <xf numFmtId="9" fontId="23" fillId="2" borderId="261" xfId="1" applyFont="1" applyFill="1" applyBorder="1" applyAlignment="1" applyProtection="1">
      <alignment vertical="center"/>
      <protection locked="0"/>
    </xf>
    <xf numFmtId="9" fontId="23" fillId="2" borderId="264" xfId="1" applyFont="1" applyFill="1" applyBorder="1" applyAlignment="1" applyProtection="1">
      <alignment vertical="center"/>
      <protection locked="0"/>
    </xf>
    <xf numFmtId="181" fontId="23" fillId="7" borderId="265" xfId="3" applyNumberFormat="1" applyFont="1" applyFill="1" applyBorder="1" applyAlignment="1" applyProtection="1">
      <alignment vertical="center"/>
      <protection locked="0"/>
    </xf>
    <xf numFmtId="181" fontId="23" fillId="7" borderId="261" xfId="3" applyNumberFormat="1" applyFont="1" applyFill="1" applyBorder="1" applyAlignment="1" applyProtection="1">
      <alignment vertical="center"/>
      <protection locked="0"/>
    </xf>
    <xf numFmtId="181" fontId="23" fillId="7" borderId="262" xfId="3" applyNumberFormat="1" applyFont="1" applyFill="1" applyBorder="1" applyAlignment="1" applyProtection="1">
      <alignment vertical="center"/>
      <protection locked="0"/>
    </xf>
    <xf numFmtId="182" fontId="9" fillId="12" borderId="99" xfId="3" applyNumberFormat="1" applyFont="1" applyFill="1" applyBorder="1" applyAlignment="1" applyProtection="1">
      <alignment vertical="center"/>
      <protection locked="0"/>
    </xf>
    <xf numFmtId="4" fontId="23" fillId="0" borderId="99" xfId="3" applyNumberFormat="1" applyFont="1" applyFill="1" applyBorder="1" applyAlignment="1" applyProtection="1">
      <alignment vertical="center"/>
    </xf>
    <xf numFmtId="0" fontId="23" fillId="12" borderId="10" xfId="0" applyFont="1" applyFill="1" applyBorder="1" applyAlignment="1" applyProtection="1">
      <alignment vertical="top" wrapText="1"/>
      <protection locked="0"/>
    </xf>
    <xf numFmtId="4" fontId="23" fillId="2" borderId="84" xfId="3" applyNumberFormat="1" applyFont="1" applyFill="1" applyBorder="1" applyAlignment="1" applyProtection="1">
      <alignment vertical="center"/>
      <protection locked="0"/>
    </xf>
    <xf numFmtId="0" fontId="23" fillId="0" borderId="142" xfId="6" applyFont="1" applyFill="1" applyBorder="1" applyAlignment="1" applyProtection="1">
      <alignment vertical="center" shrinkToFit="1"/>
    </xf>
    <xf numFmtId="0" fontId="23" fillId="0" borderId="63" xfId="6" applyFont="1" applyFill="1" applyBorder="1" applyAlignment="1" applyProtection="1">
      <alignment vertical="center" shrinkToFit="1"/>
    </xf>
    <xf numFmtId="0" fontId="23" fillId="0" borderId="11" xfId="6" applyFont="1" applyFill="1" applyBorder="1" applyAlignment="1" applyProtection="1">
      <alignment vertical="center" shrinkToFit="1"/>
    </xf>
    <xf numFmtId="0" fontId="23" fillId="0" borderId="7" xfId="6" applyNumberFormat="1" applyFont="1" applyFill="1" applyBorder="1" applyAlignment="1" applyProtection="1">
      <alignment horizontal="left" vertical="center" shrinkToFit="1"/>
    </xf>
    <xf numFmtId="0" fontId="23" fillId="0" borderId="6" xfId="6" applyNumberFormat="1" applyFont="1" applyFill="1" applyBorder="1" applyAlignment="1" applyProtection="1">
      <alignment horizontal="left" vertical="center" shrinkToFit="1"/>
    </xf>
    <xf numFmtId="0" fontId="23" fillId="0" borderId="23" xfId="6" applyFont="1" applyBorder="1" applyAlignment="1" applyProtection="1">
      <alignment vertical="center" shrinkToFit="1"/>
    </xf>
    <xf numFmtId="0" fontId="23" fillId="0" borderId="24" xfId="6" applyFont="1" applyBorder="1" applyAlignment="1" applyProtection="1">
      <alignment vertical="center" shrinkToFit="1"/>
    </xf>
    <xf numFmtId="0" fontId="16" fillId="0" borderId="10" xfId="6" applyFont="1" applyBorder="1" applyAlignment="1" applyProtection="1">
      <alignment horizontal="justify" vertical="center" indent="1"/>
    </xf>
    <xf numFmtId="0" fontId="23" fillId="0" borderId="10" xfId="6" applyFont="1" applyBorder="1" applyAlignment="1" applyProtection="1">
      <alignment vertical="center" shrinkToFit="1"/>
    </xf>
    <xf numFmtId="0" fontId="16" fillId="0" borderId="12" xfId="6" applyFont="1" applyBorder="1" applyAlignment="1" applyProtection="1">
      <alignment horizontal="center" vertical="center"/>
    </xf>
    <xf numFmtId="0" fontId="16" fillId="0" borderId="68" xfId="6" applyFont="1" applyBorder="1" applyAlignment="1" applyProtection="1">
      <alignment horizontal="center" vertical="center"/>
    </xf>
    <xf numFmtId="0" fontId="23" fillId="0" borderId="12" xfId="6" applyFont="1" applyBorder="1" applyAlignment="1" applyProtection="1">
      <alignment vertical="center"/>
    </xf>
    <xf numFmtId="0" fontId="0" fillId="0" borderId="10" xfId="6" applyFont="1" applyBorder="1" applyAlignment="1" applyProtection="1">
      <alignment horizontal="justify" vertical="center" indent="1"/>
    </xf>
    <xf numFmtId="0" fontId="23" fillId="0" borderId="142" xfId="6" applyFont="1" applyBorder="1" applyAlignment="1" applyProtection="1">
      <alignment vertical="center" shrinkToFit="1"/>
    </xf>
    <xf numFmtId="0" fontId="23" fillId="0" borderId="63" xfId="6" applyFont="1" applyBorder="1" applyAlignment="1" applyProtection="1">
      <alignment vertical="center" shrinkToFit="1"/>
    </xf>
    <xf numFmtId="0" fontId="23" fillId="0" borderId="11" xfId="6" applyFont="1" applyBorder="1" applyAlignment="1" applyProtection="1">
      <alignment vertical="center" shrinkToFit="1"/>
    </xf>
    <xf numFmtId="0" fontId="16" fillId="0" borderId="75" xfId="6" applyFont="1" applyBorder="1" applyAlignment="1" applyProtection="1">
      <alignment horizontal="center" vertical="center"/>
    </xf>
    <xf numFmtId="0" fontId="16" fillId="0" borderId="72" xfId="6" applyFont="1" applyBorder="1" applyAlignment="1" applyProtection="1">
      <alignment horizontal="center" vertical="center"/>
    </xf>
    <xf numFmtId="0" fontId="16" fillId="0" borderId="73" xfId="6" applyFont="1" applyBorder="1" applyAlignment="1" applyProtection="1">
      <alignment horizontal="center" vertical="center"/>
    </xf>
    <xf numFmtId="0" fontId="10" fillId="9" borderId="2" xfId="6" applyFont="1" applyFill="1" applyBorder="1" applyAlignment="1" applyProtection="1">
      <alignment horizontal="justify" vertical="center" indent="3"/>
    </xf>
    <xf numFmtId="0" fontId="16" fillId="0" borderId="31" xfId="6" applyFont="1" applyBorder="1" applyAlignment="1" applyProtection="1">
      <alignment horizontal="center" vertical="center" textRotation="255" wrapText="1"/>
    </xf>
    <xf numFmtId="0" fontId="16" fillId="0" borderId="17" xfId="6" applyFont="1" applyBorder="1" applyAlignment="1" applyProtection="1">
      <alignment horizontal="center" vertical="center" textRotation="255" wrapText="1"/>
    </xf>
    <xf numFmtId="0" fontId="16" fillId="0" borderId="153" xfId="6" applyFont="1" applyBorder="1" applyAlignment="1" applyProtection="1">
      <alignment horizontal="center" vertical="center" textRotation="255" wrapText="1"/>
    </xf>
    <xf numFmtId="0" fontId="16" fillId="0" borderId="20" xfId="6" applyFont="1" applyBorder="1" applyAlignment="1" applyProtection="1">
      <alignment horizontal="center" vertical="center" textRotation="255" wrapText="1"/>
    </xf>
    <xf numFmtId="0" fontId="16" fillId="0" borderId="152" xfId="6" applyFont="1" applyBorder="1" applyAlignment="1" applyProtection="1">
      <alignment horizontal="center" vertical="center" textRotation="255" wrapText="1"/>
    </xf>
    <xf numFmtId="0" fontId="16" fillId="0" borderId="19" xfId="6" applyFont="1" applyBorder="1" applyAlignment="1" applyProtection="1">
      <alignment horizontal="center" vertical="center" textRotation="255" wrapText="1"/>
    </xf>
    <xf numFmtId="0" fontId="16" fillId="0" borderId="15" xfId="6" applyFont="1" applyBorder="1" applyAlignment="1" applyProtection="1">
      <alignment horizontal="center" vertical="center" textRotation="255" wrapText="1"/>
    </xf>
    <xf numFmtId="0" fontId="0" fillId="0" borderId="137" xfId="6" applyFont="1" applyBorder="1" applyAlignment="1" applyProtection="1">
      <alignment horizontal="center" vertical="center" textRotation="255" wrapText="1"/>
    </xf>
    <xf numFmtId="0" fontId="16" fillId="0" borderId="137" xfId="6" applyFont="1" applyBorder="1" applyAlignment="1" applyProtection="1">
      <alignment horizontal="center" vertical="center" textRotation="255" wrapText="1"/>
    </xf>
    <xf numFmtId="0" fontId="16" fillId="0" borderId="138" xfId="6" applyFont="1" applyBorder="1" applyAlignment="1" applyProtection="1">
      <alignment horizontal="center" vertical="center" textRotation="255" wrapText="1"/>
    </xf>
    <xf numFmtId="0" fontId="0" fillId="0" borderId="136" xfId="6" applyFont="1" applyBorder="1" applyAlignment="1" applyProtection="1">
      <alignment horizontal="center" vertical="center" textRotation="255" wrapText="1"/>
    </xf>
    <xf numFmtId="0" fontId="16" fillId="0" borderId="4" xfId="6" applyFont="1" applyBorder="1" applyAlignment="1" applyProtection="1">
      <alignment horizontal="center" vertical="center"/>
    </xf>
    <xf numFmtId="0" fontId="16" fillId="0" borderId="22" xfId="6" applyFont="1" applyBorder="1" applyAlignment="1" applyProtection="1">
      <alignment horizontal="center" vertical="center"/>
    </xf>
    <xf numFmtId="0" fontId="16" fillId="0" borderId="8" xfId="6" applyFont="1" applyBorder="1" applyAlignment="1" applyProtection="1">
      <alignment horizontal="center" vertical="center" textRotation="255" wrapText="1"/>
    </xf>
    <xf numFmtId="0" fontId="16" fillId="0" borderId="155" xfId="6" applyFont="1" applyBorder="1" applyAlignment="1" applyProtection="1">
      <alignment horizontal="center" vertical="center" textRotation="255" wrapText="1"/>
    </xf>
    <xf numFmtId="0" fontId="10" fillId="9" borderId="2" xfId="6" applyFont="1" applyFill="1" applyBorder="1" applyAlignment="1" applyProtection="1">
      <alignment horizontal="center" vertical="center"/>
    </xf>
    <xf numFmtId="0" fontId="16" fillId="0" borderId="2" xfId="6" applyFont="1" applyBorder="1" applyAlignment="1" applyProtection="1">
      <alignment horizontal="center" vertical="center" textRotation="255"/>
    </xf>
    <xf numFmtId="0" fontId="16" fillId="0" borderId="189" xfId="6" applyFont="1" applyBorder="1" applyAlignment="1" applyProtection="1">
      <alignment horizontal="center" vertical="center" textRotation="255"/>
    </xf>
    <xf numFmtId="0" fontId="16" fillId="0" borderId="6" xfId="6" applyFont="1" applyBorder="1" applyAlignment="1" applyProtection="1">
      <alignment horizontal="justify" vertical="center" indent="1"/>
    </xf>
    <xf numFmtId="38" fontId="23" fillId="0" borderId="6" xfId="6" applyNumberFormat="1" applyFont="1" applyBorder="1" applyAlignment="1" applyProtection="1">
      <alignment vertical="center"/>
    </xf>
    <xf numFmtId="0" fontId="4" fillId="0" borderId="164" xfId="0" applyFont="1" applyBorder="1" applyAlignment="1" applyProtection="1">
      <alignment horizontal="center" vertical="center"/>
    </xf>
    <xf numFmtId="0" fontId="4" fillId="0" borderId="165" xfId="0" applyFont="1" applyBorder="1" applyAlignment="1" applyProtection="1">
      <alignment horizontal="center" vertical="center"/>
    </xf>
    <xf numFmtId="201" fontId="4" fillId="0" borderId="166" xfId="0" applyNumberFormat="1" applyFont="1" applyBorder="1" applyAlignment="1" applyProtection="1">
      <alignment horizontal="center"/>
    </xf>
    <xf numFmtId="201" fontId="4" fillId="0" borderId="134" xfId="0" applyNumberFormat="1" applyFont="1" applyBorder="1" applyAlignment="1" applyProtection="1">
      <alignment horizontal="center"/>
    </xf>
    <xf numFmtId="202" fontId="4" fillId="0" borderId="9" xfId="0" applyNumberFormat="1" applyFont="1" applyFill="1" applyBorder="1" applyAlignment="1" applyProtection="1">
      <alignment vertical="center"/>
    </xf>
    <xf numFmtId="202" fontId="4" fillId="0" borderId="51" xfId="0" applyNumberFormat="1" applyFont="1" applyFill="1" applyBorder="1" applyAlignment="1" applyProtection="1">
      <alignment vertical="center"/>
    </xf>
    <xf numFmtId="0" fontId="23" fillId="0" borderId="214" xfId="0" applyFont="1" applyBorder="1" applyAlignment="1" applyProtection="1">
      <alignment horizontal="center" vertical="center" wrapText="1" shrinkToFit="1"/>
    </xf>
    <xf numFmtId="0" fontId="23" fillId="0" borderId="215" xfId="0" applyFont="1" applyBorder="1" applyAlignment="1" applyProtection="1">
      <alignment horizontal="center" vertical="center" wrapText="1" shrinkToFit="1"/>
    </xf>
    <xf numFmtId="0" fontId="4" fillId="0" borderId="77" xfId="0" applyFont="1" applyBorder="1" applyAlignment="1" applyProtection="1">
      <alignment horizontal="center" vertical="center"/>
    </xf>
    <xf numFmtId="0" fontId="23" fillId="0" borderId="127" xfId="0" applyFont="1" applyBorder="1" applyAlignment="1" applyProtection="1">
      <alignment horizontal="center" vertical="center" textRotation="255" shrinkToFit="1"/>
    </xf>
    <xf numFmtId="0" fontId="23" fillId="0" borderId="132" xfId="0" applyFont="1" applyBorder="1" applyAlignment="1" applyProtection="1">
      <alignment horizontal="center" vertical="center" textRotation="255" shrinkToFit="1"/>
    </xf>
    <xf numFmtId="0" fontId="23" fillId="0" borderId="168" xfId="0" applyFont="1" applyBorder="1" applyAlignment="1" applyProtection="1">
      <alignment horizontal="center" vertical="center" textRotation="255" shrinkToFit="1"/>
    </xf>
    <xf numFmtId="0" fontId="4" fillId="0" borderId="2" xfId="0" applyFont="1" applyBorder="1" applyAlignment="1" applyProtection="1">
      <alignment horizontal="center" vertical="center"/>
    </xf>
    <xf numFmtId="183" fontId="4" fillId="0" borderId="52" xfId="0" applyNumberFormat="1" applyFont="1" applyBorder="1" applyAlignment="1" applyProtection="1">
      <alignment horizontal="center" vertical="center"/>
    </xf>
    <xf numFmtId="183" fontId="4" fillId="0" borderId="54" xfId="0" applyNumberFormat="1" applyFont="1" applyBorder="1" applyAlignment="1" applyProtection="1">
      <alignment horizontal="center" vertical="center"/>
    </xf>
    <xf numFmtId="0" fontId="0" fillId="0" borderId="154" xfId="0" applyBorder="1" applyAlignment="1" applyProtection="1">
      <alignment horizontal="center" vertical="top"/>
    </xf>
    <xf numFmtId="0" fontId="0" fillId="0" borderId="55" xfId="0" applyBorder="1" applyProtection="1"/>
    <xf numFmtId="0" fontId="0" fillId="0" borderId="59" xfId="0" applyBorder="1" applyProtection="1"/>
    <xf numFmtId="0" fontId="4" fillId="0" borderId="3" xfId="0" applyFont="1" applyBorder="1" applyAlignment="1" applyProtection="1">
      <alignment horizontal="center" vertical="center"/>
    </xf>
    <xf numFmtId="183" fontId="4" fillId="0" borderId="77" xfId="0" applyNumberFormat="1" applyFont="1" applyBorder="1" applyAlignment="1" applyProtection="1">
      <alignment horizontal="center" vertical="center"/>
    </xf>
    <xf numFmtId="0" fontId="0" fillId="0" borderId="152" xfId="0" applyBorder="1" applyAlignment="1" applyProtection="1">
      <alignment horizontal="center"/>
    </xf>
    <xf numFmtId="0" fontId="0" fillId="0" borderId="153" xfId="0" applyBorder="1" applyProtection="1"/>
    <xf numFmtId="0" fontId="0" fillId="0" borderId="20" xfId="0" applyBorder="1" applyProtection="1"/>
    <xf numFmtId="202" fontId="4" fillId="0" borderId="149" xfId="0" applyNumberFormat="1" applyFont="1" applyFill="1" applyBorder="1" applyAlignment="1" applyProtection="1">
      <alignment vertical="center"/>
    </xf>
    <xf numFmtId="202" fontId="4" fillId="0" borderId="151" xfId="0" applyNumberFormat="1" applyFont="1" applyFill="1" applyBorder="1" applyAlignment="1" applyProtection="1">
      <alignment vertical="center"/>
    </xf>
    <xf numFmtId="194" fontId="16" fillId="19" borderId="117" xfId="12" applyNumberFormat="1" applyFill="1" applyBorder="1" applyAlignment="1" applyProtection="1">
      <protection locked="0"/>
    </xf>
    <xf numFmtId="0" fontId="31" fillId="0" borderId="119" xfId="15" applyBorder="1" applyAlignment="1" applyProtection="1">
      <protection locked="0"/>
    </xf>
    <xf numFmtId="0" fontId="16" fillId="18" borderId="117" xfId="12" applyFill="1" applyBorder="1" applyAlignment="1" applyProtection="1">
      <alignment horizontal="center"/>
    </xf>
    <xf numFmtId="0" fontId="16" fillId="0" borderId="118" xfId="14" applyBorder="1" applyAlignment="1">
      <alignment horizontal="center"/>
    </xf>
    <xf numFmtId="0" fontId="31" fillId="0" borderId="119" xfId="15" applyBorder="1" applyAlignment="1"/>
    <xf numFmtId="0" fontId="0" fillId="19" borderId="117" xfId="12" applyFont="1" applyFill="1" applyBorder="1" applyAlignment="1" applyProtection="1">
      <protection locked="0"/>
    </xf>
    <xf numFmtId="0" fontId="16" fillId="0" borderId="118" xfId="14" applyBorder="1" applyAlignment="1" applyProtection="1">
      <protection locked="0"/>
    </xf>
    <xf numFmtId="0" fontId="16" fillId="19" borderId="117" xfId="12" applyFont="1" applyFill="1" applyBorder="1" applyAlignment="1" applyProtection="1">
      <protection locked="0"/>
    </xf>
    <xf numFmtId="0" fontId="16" fillId="0" borderId="120" xfId="12" applyFont="1" applyBorder="1" applyAlignment="1">
      <alignment vertical="top"/>
    </xf>
    <xf numFmtId="0" fontId="16" fillId="0" borderId="121" xfId="12" applyFont="1" applyBorder="1" applyAlignment="1">
      <alignment vertical="top"/>
    </xf>
    <xf numFmtId="0" fontId="31" fillId="0" borderId="122" xfId="15" applyBorder="1" applyAlignment="1">
      <alignment vertical="center"/>
    </xf>
    <xf numFmtId="0" fontId="0" fillId="19" borderId="120" xfId="12" applyFont="1" applyFill="1" applyBorder="1" applyAlignment="1" applyProtection="1">
      <alignment vertical="top" wrapText="1"/>
      <protection locked="0"/>
    </xf>
    <xf numFmtId="0" fontId="16" fillId="19" borderId="120" xfId="12" applyFont="1" applyFill="1" applyBorder="1" applyAlignment="1" applyProtection="1">
      <alignment vertical="top" wrapText="1"/>
      <protection locked="0"/>
    </xf>
    <xf numFmtId="0" fontId="31" fillId="0" borderId="120" xfId="15" applyBorder="1" applyAlignment="1" applyProtection="1">
      <alignment vertical="center" wrapText="1"/>
      <protection locked="0"/>
    </xf>
    <xf numFmtId="0" fontId="16" fillId="19" borderId="121" xfId="12" applyFont="1" applyFill="1" applyBorder="1" applyAlignment="1" applyProtection="1">
      <alignment vertical="top" wrapText="1"/>
      <protection locked="0"/>
    </xf>
    <xf numFmtId="0" fontId="31" fillId="0" borderId="121" xfId="15" applyBorder="1" applyAlignment="1" applyProtection="1">
      <alignment vertical="center" wrapText="1"/>
      <protection locked="0"/>
    </xf>
    <xf numFmtId="0" fontId="31" fillId="0" borderId="122" xfId="15" applyBorder="1" applyAlignment="1" applyProtection="1">
      <alignment vertical="center" wrapText="1"/>
      <protection locked="0"/>
    </xf>
    <xf numFmtId="0" fontId="3" fillId="19" borderId="117" xfId="12" applyFont="1" applyFill="1" applyBorder="1" applyAlignment="1" applyProtection="1">
      <protection locked="0"/>
    </xf>
    <xf numFmtId="0" fontId="16" fillId="19" borderId="117" xfId="12" applyFill="1" applyBorder="1" applyAlignment="1" applyProtection="1">
      <protection locked="0"/>
    </xf>
    <xf numFmtId="0" fontId="23" fillId="9" borderId="3" xfId="7" applyFont="1" applyFill="1" applyBorder="1" applyAlignment="1" applyProtection="1">
      <alignment horizontal="center" wrapText="1"/>
    </xf>
    <xf numFmtId="0" fontId="23" fillId="6" borderId="30" xfId="0" applyFont="1" applyFill="1" applyBorder="1" applyProtection="1"/>
    <xf numFmtId="0" fontId="23" fillId="6" borderId="4" xfId="0" applyFont="1" applyFill="1" applyBorder="1" applyProtection="1"/>
    <xf numFmtId="0" fontId="30" fillId="10" borderId="2" xfId="7" applyFont="1" applyFill="1" applyBorder="1" applyAlignment="1" applyProtection="1">
      <alignment horizontal="center" vertical="center" textRotation="255" wrapText="1"/>
    </xf>
    <xf numFmtId="0" fontId="23" fillId="9" borderId="2" xfId="7" applyFont="1" applyFill="1" applyBorder="1" applyAlignment="1" applyProtection="1">
      <alignment horizontal="center" vertical="center"/>
    </xf>
    <xf numFmtId="0" fontId="23" fillId="9" borderId="2" xfId="7" applyFont="1" applyFill="1" applyBorder="1" applyAlignment="1" applyProtection="1">
      <alignment horizontal="center" vertical="top" textRotation="255" wrapText="1"/>
    </xf>
    <xf numFmtId="0" fontId="23" fillId="9" borderId="8" xfId="7" applyFont="1" applyFill="1" applyBorder="1" applyAlignment="1" applyProtection="1">
      <alignment horizontal="center" wrapText="1"/>
    </xf>
    <xf numFmtId="0" fontId="23" fillId="2" borderId="149" xfId="7" applyFont="1" applyFill="1" applyBorder="1" applyAlignment="1" applyProtection="1">
      <alignment vertical="center"/>
      <protection locked="0"/>
    </xf>
    <xf numFmtId="0" fontId="23" fillId="2" borderId="150" xfId="7" applyFont="1" applyFill="1" applyBorder="1" applyAlignment="1" applyProtection="1">
      <alignment vertical="center"/>
      <protection locked="0"/>
    </xf>
    <xf numFmtId="0" fontId="23" fillId="2" borderId="9" xfId="7" applyFont="1" applyFill="1" applyBorder="1" applyAlignment="1" applyProtection="1">
      <alignment vertical="center"/>
      <protection locked="0"/>
    </xf>
    <xf numFmtId="0" fontId="23" fillId="2" borderId="11" xfId="7" applyFont="1" applyFill="1" applyBorder="1" applyAlignment="1" applyProtection="1">
      <alignment vertical="center"/>
      <protection locked="0"/>
    </xf>
    <xf numFmtId="0" fontId="23" fillId="9" borderId="2" xfId="7" applyFont="1" applyFill="1" applyBorder="1" applyAlignment="1" applyProtection="1">
      <alignment horizontal="center" vertical="center" textRotation="255"/>
    </xf>
    <xf numFmtId="0" fontId="23" fillId="0" borderId="0" xfId="0" applyFont="1" applyBorder="1" applyAlignment="1" applyProtection="1">
      <alignment vertical="center" shrinkToFit="1"/>
    </xf>
    <xf numFmtId="0" fontId="23" fillId="0" borderId="18" xfId="0" applyFont="1" applyBorder="1" applyAlignment="1" applyProtection="1">
      <alignment vertical="center" shrinkToFit="1"/>
    </xf>
    <xf numFmtId="0" fontId="23" fillId="0" borderId="2" xfId="7" applyFont="1" applyBorder="1" applyAlignment="1" applyProtection="1">
      <alignment vertical="center" textRotation="255" wrapText="1"/>
    </xf>
    <xf numFmtId="0" fontId="23" fillId="2" borderId="6" xfId="7" applyFont="1" applyFill="1" applyBorder="1" applyAlignment="1" applyProtection="1">
      <alignment vertical="center"/>
      <protection locked="0"/>
    </xf>
    <xf numFmtId="0" fontId="23" fillId="2" borderId="10" xfId="0" applyFont="1" applyFill="1" applyBorder="1" applyAlignment="1" applyProtection="1">
      <alignment vertical="center"/>
      <protection locked="0"/>
    </xf>
    <xf numFmtId="0" fontId="23" fillId="0" borderId="8" xfId="0" applyFont="1" applyBorder="1" applyAlignment="1" applyProtection="1">
      <alignment vertical="center" textRotation="255"/>
    </xf>
    <xf numFmtId="0" fontId="23" fillId="0" borderId="19" xfId="0" applyFont="1" applyBorder="1" applyAlignment="1" applyProtection="1">
      <alignment vertical="center" textRotation="255"/>
    </xf>
    <xf numFmtId="0" fontId="23" fillId="0" borderId="15" xfId="0" applyFont="1" applyBorder="1" applyAlignment="1" applyProtection="1">
      <alignment vertical="center" textRotation="255"/>
    </xf>
    <xf numFmtId="0" fontId="23" fillId="0" borderId="13" xfId="7" applyFont="1" applyBorder="1" applyAlignment="1" applyProtection="1">
      <alignment horizontal="center" vertical="center"/>
    </xf>
    <xf numFmtId="0" fontId="23" fillId="0" borderId="14" xfId="7" applyFont="1" applyBorder="1" applyAlignment="1" applyProtection="1">
      <alignment horizontal="center" vertical="center"/>
    </xf>
    <xf numFmtId="0" fontId="10" fillId="0" borderId="21" xfId="7" applyNumberFormat="1" applyFont="1" applyFill="1" applyBorder="1" applyAlignment="1" applyProtection="1">
      <alignment horizontal="right" shrinkToFit="1"/>
    </xf>
    <xf numFmtId="0" fontId="23" fillId="0" borderId="13" xfId="0" applyFont="1" applyBorder="1" applyAlignment="1" applyProtection="1">
      <alignment horizontal="center" vertical="center" textRotation="255"/>
    </xf>
    <xf numFmtId="0" fontId="23" fillId="0" borderId="14" xfId="0" applyFont="1" applyBorder="1" applyAlignment="1" applyProtection="1">
      <alignment horizontal="center" vertical="center" textRotation="255"/>
    </xf>
    <xf numFmtId="0" fontId="30" fillId="2" borderId="9" xfId="7" applyFont="1" applyFill="1" applyBorder="1" applyAlignment="1" applyProtection="1">
      <alignment vertical="center"/>
      <protection locked="0"/>
    </xf>
    <xf numFmtId="0" fontId="30" fillId="2" borderId="11" xfId="7" applyFont="1" applyFill="1" applyBorder="1" applyAlignment="1" applyProtection="1">
      <alignment vertical="center"/>
      <protection locked="0"/>
    </xf>
    <xf numFmtId="0" fontId="0" fillId="2" borderId="37" xfId="0" applyFont="1" applyFill="1" applyBorder="1" applyAlignment="1" applyProtection="1">
      <alignment horizontal="center" vertical="center" shrinkToFi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4" xfId="0" applyFont="1" applyBorder="1" applyAlignment="1" applyProtection="1">
      <alignment horizontal="center" vertical="center" wrapText="1"/>
    </xf>
    <xf numFmtId="40" fontId="0" fillId="0" borderId="8" xfId="2" applyNumberFormat="1" applyFont="1" applyFill="1" applyBorder="1" applyAlignment="1" applyProtection="1">
      <alignment horizontal="center" vertical="center" wrapText="1"/>
    </xf>
    <xf numFmtId="40" fontId="0" fillId="0" borderId="74" xfId="2" applyNumberFormat="1" applyFont="1" applyFill="1" applyBorder="1" applyAlignment="1" applyProtection="1">
      <alignment horizontal="center" vertical="center" wrapText="1"/>
    </xf>
    <xf numFmtId="0" fontId="0" fillId="7" borderId="8" xfId="0" applyFont="1" applyFill="1" applyBorder="1" applyAlignment="1" applyProtection="1">
      <alignment horizontal="center" vertical="center" wrapText="1"/>
    </xf>
    <xf numFmtId="0" fontId="0" fillId="0" borderId="74" xfId="0" applyBorder="1" applyProtection="1"/>
    <xf numFmtId="179" fontId="0" fillId="2" borderId="207" xfId="2" applyNumberFormat="1" applyFont="1" applyFill="1" applyBorder="1" applyAlignment="1" applyProtection="1">
      <alignment horizontal="center" vertical="center" wrapText="1"/>
    </xf>
    <xf numFmtId="179" fontId="0" fillId="2" borderId="74" xfId="2" applyNumberFormat="1" applyFont="1" applyFill="1" applyBorder="1" applyAlignment="1" applyProtection="1">
      <alignment horizontal="center" vertical="center" wrapText="1"/>
    </xf>
    <xf numFmtId="179" fontId="0" fillId="2" borderId="8" xfId="2" applyNumberFormat="1" applyFont="1" applyFill="1" applyBorder="1" applyAlignment="1" applyProtection="1">
      <alignment horizontal="center" vertical="center" wrapText="1"/>
    </xf>
    <xf numFmtId="40" fontId="0" fillId="0" borderId="82" xfId="2" applyNumberFormat="1" applyFont="1" applyFill="1" applyBorder="1" applyAlignment="1" applyProtection="1">
      <alignment horizontal="center" vertical="center" wrapText="1"/>
    </xf>
    <xf numFmtId="40" fontId="0" fillId="0" borderId="70" xfId="2" applyNumberFormat="1" applyFont="1" applyFill="1" applyBorder="1" applyAlignment="1" applyProtection="1">
      <alignment horizontal="center" vertical="center" wrapText="1"/>
    </xf>
    <xf numFmtId="0" fontId="0" fillId="0" borderId="67" xfId="0" applyBorder="1" applyAlignment="1" applyProtection="1">
      <alignment horizontal="center" vertical="center" wrapText="1"/>
    </xf>
    <xf numFmtId="0" fontId="0" fillId="0" borderId="67" xfId="0" applyFont="1" applyBorder="1" applyAlignment="1" applyProtection="1">
      <alignment horizontal="center" vertical="center" wrapText="1"/>
    </xf>
    <xf numFmtId="0" fontId="0" fillId="0" borderId="66" xfId="0" applyFont="1" applyBorder="1" applyAlignment="1" applyProtection="1">
      <alignment horizontal="center" vertical="center" wrapText="1"/>
    </xf>
    <xf numFmtId="0" fontId="0" fillId="3" borderId="78" xfId="0" applyFont="1" applyFill="1" applyBorder="1" applyAlignment="1" applyProtection="1">
      <alignment horizontal="center" vertical="center" wrapText="1"/>
    </xf>
    <xf numFmtId="0" fontId="0" fillId="3" borderId="79" xfId="0" applyFont="1" applyFill="1" applyBorder="1" applyAlignment="1" applyProtection="1">
      <alignment horizontal="center" vertical="center" wrapText="1"/>
    </xf>
    <xf numFmtId="0" fontId="0" fillId="7" borderId="79" xfId="0" applyFont="1" applyFill="1" applyBorder="1" applyAlignment="1" applyProtection="1">
      <alignment horizontal="center" vertical="center" wrapText="1"/>
    </xf>
    <xf numFmtId="0" fontId="0" fillId="2" borderId="79" xfId="0" applyFill="1" applyBorder="1" applyAlignment="1" applyProtection="1">
      <alignment horizontal="center" vertical="center" wrapText="1"/>
    </xf>
    <xf numFmtId="0" fontId="0" fillId="2" borderId="79" xfId="0" applyFont="1" applyFill="1" applyBorder="1" applyAlignment="1" applyProtection="1">
      <alignment horizontal="center" vertical="center" wrapText="1"/>
    </xf>
    <xf numFmtId="197" fontId="0" fillId="0" borderId="174" xfId="0" applyNumberFormat="1" applyBorder="1" applyAlignment="1">
      <alignment horizontal="center" vertical="center" wrapText="1"/>
    </xf>
    <xf numFmtId="197" fontId="0" fillId="0" borderId="206" xfId="0" applyNumberFormat="1" applyFont="1" applyBorder="1" applyAlignment="1">
      <alignment horizontal="center" vertical="center"/>
    </xf>
    <xf numFmtId="197" fontId="22" fillId="0" borderId="163" xfId="0" applyNumberFormat="1" applyFont="1" applyBorder="1" applyAlignment="1">
      <alignment horizontal="center" vertical="center"/>
    </xf>
    <xf numFmtId="197" fontId="22" fillId="0" borderId="164" xfId="0" applyNumberFormat="1" applyFont="1" applyBorder="1" applyAlignment="1">
      <alignment horizontal="center" vertical="center"/>
    </xf>
    <xf numFmtId="197" fontId="22" fillId="0" borderId="165" xfId="0" applyNumberFormat="1" applyFont="1" applyBorder="1" applyAlignment="1">
      <alignment horizontal="center" vertical="center"/>
    </xf>
    <xf numFmtId="197" fontId="0" fillId="0" borderId="184" xfId="0" applyNumberFormat="1" applyBorder="1" applyAlignment="1">
      <alignment horizontal="center" vertical="center" wrapText="1"/>
    </xf>
    <xf numFmtId="197" fontId="0" fillId="0" borderId="130" xfId="0" applyNumberFormat="1" applyFont="1" applyBorder="1" applyAlignment="1">
      <alignment horizontal="center" vertical="center"/>
    </xf>
    <xf numFmtId="197" fontId="0" fillId="0" borderId="174" xfId="0" applyNumberFormat="1" applyBorder="1" applyAlignment="1">
      <alignment horizontal="center" vertical="center"/>
    </xf>
    <xf numFmtId="197" fontId="0" fillId="0" borderId="229" xfId="0" applyNumberFormat="1" applyFont="1" applyBorder="1" applyAlignment="1">
      <alignment horizontal="center" vertical="center"/>
    </xf>
    <xf numFmtId="0" fontId="26" fillId="0" borderId="0" xfId="3" applyNumberFormat="1" applyFont="1" applyBorder="1" applyAlignment="1" applyProtection="1">
      <alignment horizontal="center"/>
    </xf>
    <xf numFmtId="0" fontId="23" fillId="24" borderId="83" xfId="3" applyFont="1" applyFill="1" applyBorder="1" applyAlignment="1" applyProtection="1">
      <alignment horizontal="center" vertical="center" textRotation="255"/>
    </xf>
    <xf numFmtId="0" fontId="23" fillId="24" borderId="90" xfId="3" applyFont="1" applyFill="1" applyBorder="1" applyAlignment="1" applyProtection="1">
      <alignment horizontal="center" vertical="center" textRotation="255"/>
    </xf>
    <xf numFmtId="0" fontId="23" fillId="24" borderId="92" xfId="3" applyFont="1" applyFill="1" applyBorder="1" applyAlignment="1" applyProtection="1">
      <alignment horizontal="center" vertical="center" textRotation="255"/>
    </xf>
    <xf numFmtId="0" fontId="9" fillId="24" borderId="83" xfId="3" applyFont="1" applyFill="1" applyBorder="1" applyAlignment="1" applyProtection="1">
      <alignment horizontal="center" vertical="center" textRotation="255" wrapText="1"/>
    </xf>
    <xf numFmtId="0" fontId="9" fillId="24" borderId="90" xfId="3" applyFont="1" applyFill="1" applyBorder="1" applyAlignment="1" applyProtection="1">
      <alignment horizontal="center" vertical="center" textRotation="255"/>
    </xf>
    <xf numFmtId="0" fontId="9" fillId="24" borderId="92" xfId="3" applyFont="1" applyFill="1" applyBorder="1" applyAlignment="1" applyProtection="1">
      <alignment horizontal="center" vertical="center" textRotation="255"/>
    </xf>
    <xf numFmtId="0" fontId="23" fillId="24" borderId="110" xfId="3" applyFont="1" applyFill="1" applyBorder="1" applyAlignment="1" applyProtection="1">
      <alignment horizontal="center" vertical="center" textRotation="255"/>
    </xf>
    <xf numFmtId="0" fontId="23" fillId="24" borderId="111" xfId="3" applyFont="1" applyFill="1" applyBorder="1" applyAlignment="1" applyProtection="1">
      <alignment horizontal="center" vertical="center" textRotation="255"/>
    </xf>
    <xf numFmtId="0" fontId="23" fillId="24" borderId="178" xfId="3" applyFont="1" applyFill="1" applyBorder="1" applyAlignment="1" applyProtection="1">
      <alignment horizontal="center" vertical="center" textRotation="255"/>
    </xf>
    <xf numFmtId="0" fontId="23" fillId="24" borderId="237" xfId="3" applyFont="1" applyFill="1" applyBorder="1" applyAlignment="1" applyProtection="1">
      <alignment horizontal="center" vertical="center" textRotation="255"/>
    </xf>
    <xf numFmtId="0" fontId="23" fillId="24" borderId="132" xfId="3" applyFont="1" applyFill="1" applyBorder="1" applyAlignment="1" applyProtection="1">
      <alignment horizontal="center" vertical="center" textRotation="255"/>
    </xf>
    <xf numFmtId="0" fontId="23" fillId="24" borderId="254" xfId="3" applyFont="1" applyFill="1" applyBorder="1" applyAlignment="1" applyProtection="1">
      <alignment horizontal="center" vertical="center" textRotation="255"/>
    </xf>
    <xf numFmtId="0" fontId="23" fillId="24" borderId="203" xfId="3" applyFont="1" applyFill="1" applyBorder="1" applyAlignment="1" applyProtection="1">
      <alignment horizontal="center" vertical="center" textRotation="255"/>
    </xf>
    <xf numFmtId="0" fontId="23" fillId="24" borderId="83" xfId="3" applyFont="1" applyFill="1" applyBorder="1" applyAlignment="1" applyProtection="1">
      <alignment horizontal="center" vertical="center" textRotation="255" wrapText="1"/>
    </xf>
  </cellXfs>
  <cellStyles count="30">
    <cellStyle name="パーセント" xfId="1" builtinId="5"/>
    <cellStyle name="パーセント 2" xfId="10"/>
    <cellStyle name="桁区切り" xfId="2" builtinId="6"/>
    <cellStyle name="桁区切り 2" xfId="11"/>
    <cellStyle name="桁区切り 2 2" xfId="16"/>
    <cellStyle name="桁区切り 2 3" xfId="17"/>
    <cellStyle name="桁区切り 3" xfId="18"/>
    <cellStyle name="標準" xfId="0" builtinId="0"/>
    <cellStyle name="標準 10" xfId="19"/>
    <cellStyle name="標準 11" xfId="20"/>
    <cellStyle name="標準 2" xfId="8"/>
    <cellStyle name="標準 2 2" xfId="21"/>
    <cellStyle name="標準 2 3" xfId="22"/>
    <cellStyle name="標準 3" xfId="9"/>
    <cellStyle name="標準 4" xfId="23"/>
    <cellStyle name="標準 5" xfId="24"/>
    <cellStyle name="標準 6" xfId="25"/>
    <cellStyle name="標準 7" xfId="26"/>
    <cellStyle name="標準 8" xfId="27"/>
    <cellStyle name="標準 8 2" xfId="15"/>
    <cellStyle name="標準 9" xfId="28"/>
    <cellStyle name="標準_4.物財費" xfId="3"/>
    <cellStyle name="標準_Bfm" xfId="13"/>
    <cellStyle name="標準_BFM_1_Bfm_1 2" xfId="12"/>
    <cellStyle name="標準_Sheet1" xfId="4"/>
    <cellStyle name="標準_Sheet3" xfId="5"/>
    <cellStyle name="標準_経済性" xfId="6"/>
    <cellStyle name="標準_指標編集・営農条件シート_修正案_Bfm 2" xfId="14"/>
    <cellStyle name="標準_施設機械装備" xfId="7"/>
    <cellStyle name="未定義" xfId="2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0"/>
      <rgbColor rgb="00CCFFFF"/>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CCFFCC"/>
      <rgbColor rgb="00FFFF99"/>
      <rgbColor rgb="0069FF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99FF66"/>
      <color rgb="FFCCFF99"/>
      <color rgb="FF99FF99"/>
      <color rgb="FF99FFCC"/>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133350</xdr:rowOff>
    </xdr:from>
    <xdr:to>
      <xdr:col>3</xdr:col>
      <xdr:colOff>9525</xdr:colOff>
      <xdr:row>8</xdr:row>
      <xdr:rowOff>0</xdr:rowOff>
    </xdr:to>
    <xdr:sp macro="" textlink="">
      <xdr:nvSpPr>
        <xdr:cNvPr id="5235" name="Line 3"/>
        <xdr:cNvSpPr>
          <a:spLocks noChangeShapeType="1"/>
        </xdr:cNvSpPr>
      </xdr:nvSpPr>
      <xdr:spPr bwMode="auto">
        <a:xfrm>
          <a:off x="209550" y="504825"/>
          <a:ext cx="1485900" cy="800100"/>
        </a:xfrm>
        <a:prstGeom prst="line">
          <a:avLst/>
        </a:prstGeom>
        <a:noFill/>
        <a:ln w="9360">
          <a:solidFill>
            <a:srgbClr val="000000"/>
          </a:solidFill>
          <a:miter lim="800000"/>
          <a:headEnd/>
          <a:tailEnd/>
        </a:ln>
      </xdr:spPr>
    </xdr:sp>
    <xdr:clientData/>
  </xdr:twoCellAnchor>
  <xdr:twoCellAnchor>
    <xdr:from>
      <xdr:col>32</xdr:col>
      <xdr:colOff>9525</xdr:colOff>
      <xdr:row>36</xdr:row>
      <xdr:rowOff>161926</xdr:rowOff>
    </xdr:from>
    <xdr:to>
      <xdr:col>36</xdr:col>
      <xdr:colOff>276225</xdr:colOff>
      <xdr:row>41</xdr:row>
      <xdr:rowOff>142876</xdr:rowOff>
    </xdr:to>
    <xdr:sp macro="" textlink="">
      <xdr:nvSpPr>
        <xdr:cNvPr id="4" name="テキスト ボックス 3"/>
        <xdr:cNvSpPr txBox="1"/>
      </xdr:nvSpPr>
      <xdr:spPr>
        <a:xfrm>
          <a:off x="15878175" y="7620001"/>
          <a:ext cx="2171700"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100"/>
            <a:t>○播種</a:t>
          </a:r>
          <a:endParaRPr kumimoji="1" lang="en-US" altLang="ja-JP" sz="1100"/>
        </a:p>
        <a:p>
          <a:r>
            <a:rPr kumimoji="1" lang="ja-JP" altLang="en-US" sz="1100"/>
            <a:t>◎定植</a:t>
          </a:r>
          <a:endParaRPr kumimoji="1" lang="en-US" altLang="ja-JP" sz="1100"/>
        </a:p>
        <a:p>
          <a:r>
            <a:rPr kumimoji="1" lang="en-US" altLang="ja-JP" sz="1100"/>
            <a:t>…</a:t>
          </a:r>
          <a:r>
            <a:rPr kumimoji="1" lang="ja-JP" altLang="en-US" sz="1100"/>
            <a:t>育苗期間</a:t>
          </a:r>
          <a:endParaRPr kumimoji="1" lang="en-US" altLang="ja-JP" sz="1100"/>
        </a:p>
        <a:p>
          <a:r>
            <a:rPr kumimoji="1" lang="en-US" altLang="ja-JP" sz="1100"/>
            <a:t>―</a:t>
          </a:r>
          <a:r>
            <a:rPr kumimoji="1" lang="ja-JP" altLang="en-US" sz="1100"/>
            <a:t>栽培期間</a:t>
          </a:r>
          <a:endParaRPr kumimoji="1" lang="en-US" altLang="ja-JP" sz="1100"/>
        </a:p>
        <a:p>
          <a:r>
            <a:rPr kumimoji="1" lang="ja-JP" altLang="en-US" sz="1100"/>
            <a:t>■収穫</a:t>
          </a:r>
        </a:p>
        <a:p>
          <a:endParaRPr kumimoji="1" lang="en-US" altLang="ja-JP" sz="1100"/>
        </a:p>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6&#12488;&#12510;&#12488;&#22799;&#31179;&#20316;Ver1_2&#65288;&#26368;&#3206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ikaku\Users\010877\AppData\Local\Microsoft\Windows\Temporary%20Internet%20Files\Content.IE5\20M1QRNI\(&#40778;&#34276;&#20462;&#29983;&#29256;2)007_&#65295;&#20307;&#31995;07_&#20908;&#26149;&#12488;&#12510;&#12488;_H27_&#20462;&#27491;&#29256;_&#32076;&#21942;&#21454;&#25903;_-z-bf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収支"/>
      <sheetName val="技術体系入力"/>
      <sheetName val="償却資産"/>
      <sheetName val="収支入力"/>
      <sheetName val="労働時間"/>
      <sheetName val="作業体系"/>
      <sheetName val="損益分岐点グラフ"/>
      <sheetName val="科目集計用"/>
      <sheetName val="機械必要台数試算表"/>
      <sheetName val="育成費計算"/>
      <sheetName val="作業可能日数率"/>
      <sheetName val="科目設定"/>
    </sheetNames>
    <sheetDataSet>
      <sheetData sheetId="0"/>
      <sheetData sheetId="1">
        <row r="2">
          <cell r="B2" t="str">
            <v>トマト（雨よけ）</v>
          </cell>
        </row>
      </sheetData>
      <sheetData sheetId="2">
        <row r="1">
          <cell r="E1">
            <v>30</v>
          </cell>
        </row>
      </sheetData>
      <sheetData sheetId="3"/>
      <sheetData sheetId="4"/>
      <sheetData sheetId="5">
        <row r="4">
          <cell r="A4" t="str">
            <v>育苗管理</v>
          </cell>
        </row>
      </sheetData>
      <sheetData sheetId="6" refreshError="1"/>
      <sheetData sheetId="7">
        <row r="3">
          <cell r="H3">
            <v>10000</v>
          </cell>
        </row>
        <row r="7">
          <cell r="I7">
            <v>2736160</v>
          </cell>
        </row>
        <row r="110">
          <cell r="I110">
            <v>1763304.7797959184</v>
          </cell>
        </row>
        <row r="111">
          <cell r="I111">
            <v>395003.06060606061</v>
          </cell>
        </row>
      </sheetData>
      <sheetData sheetId="8" refreshError="1"/>
      <sheetData sheetId="9" refreshError="1"/>
      <sheetData sheetId="10" refreshError="1"/>
      <sheetData sheetId="11">
        <row r="1">
          <cell r="C1" t="str">
            <v>粗収益</v>
          </cell>
          <cell r="D1" t="str">
            <v>種苗費</v>
          </cell>
          <cell r="E1" t="str">
            <v>肥料費</v>
          </cell>
          <cell r="F1" t="str">
            <v>農業薬剤費</v>
          </cell>
          <cell r="G1" t="str">
            <v>動力・光熱費</v>
          </cell>
          <cell r="H1" t="str">
            <v>諸材料費</v>
          </cell>
          <cell r="I1" t="str">
            <v>農具費</v>
          </cell>
          <cell r="J1" t="str">
            <v>土地改良・水利費</v>
          </cell>
          <cell r="K1" t="str">
            <v>賃借料・利用料</v>
          </cell>
          <cell r="L1" t="str">
            <v>雇用労働費</v>
          </cell>
          <cell r="M1" t="str">
            <v>販売費用</v>
          </cell>
          <cell r="N1" t="str">
            <v>管理費用</v>
          </cell>
        </row>
        <row r="2">
          <cell r="P2" t="str">
            <v>1月上旬</v>
          </cell>
          <cell r="Q2" t="str">
            <v>Kg</v>
          </cell>
          <cell r="S2" t="str">
            <v>ガソリン</v>
          </cell>
          <cell r="U2" t="str">
            <v>固定</v>
          </cell>
          <cell r="W2" t="str">
            <v>01岩国</v>
          </cell>
        </row>
        <row r="3">
          <cell r="P3" t="str">
            <v>1月中旬</v>
          </cell>
          <cell r="Q3" t="str">
            <v>t</v>
          </cell>
          <cell r="S3" t="str">
            <v>軽油</v>
          </cell>
          <cell r="U3" t="str">
            <v>変動</v>
          </cell>
          <cell r="W3" t="str">
            <v>02柳井</v>
          </cell>
        </row>
        <row r="4">
          <cell r="P4" t="str">
            <v>1月下旬</v>
          </cell>
          <cell r="Q4" t="str">
            <v>g</v>
          </cell>
          <cell r="S4" t="str">
            <v>混合油</v>
          </cell>
          <cell r="U4" t="str">
            <v>不明</v>
          </cell>
          <cell r="W4" t="str">
            <v>03玖珂</v>
          </cell>
        </row>
        <row r="5">
          <cell r="P5" t="str">
            <v>2月上旬</v>
          </cell>
          <cell r="Q5" t="str">
            <v>ml</v>
          </cell>
          <cell r="S5" t="str">
            <v>Ａ重油</v>
          </cell>
          <cell r="W5" t="str">
            <v>04下松</v>
          </cell>
        </row>
        <row r="6">
          <cell r="P6" t="str">
            <v>2月中旬</v>
          </cell>
          <cell r="Q6" t="str">
            <v>ﾘｯﾄﾙ</v>
          </cell>
          <cell r="S6" t="str">
            <v>電気料</v>
          </cell>
          <cell r="W6" t="str">
            <v>05防府</v>
          </cell>
        </row>
        <row r="7">
          <cell r="P7" t="str">
            <v>2月下旬</v>
          </cell>
          <cell r="Q7" t="str">
            <v>錠</v>
          </cell>
          <cell r="S7" t="str">
            <v>畑潅水使用料</v>
          </cell>
          <cell r="W7" t="str">
            <v>06山口</v>
          </cell>
        </row>
        <row r="8">
          <cell r="P8" t="str">
            <v>3月上旬</v>
          </cell>
          <cell r="Q8" t="str">
            <v>m</v>
          </cell>
          <cell r="S8" t="str">
            <v>灯油</v>
          </cell>
          <cell r="W8" t="str">
            <v>07秋吉台</v>
          </cell>
        </row>
        <row r="9">
          <cell r="P9" t="str">
            <v>3月中旬</v>
          </cell>
          <cell r="Q9" t="str">
            <v>cc</v>
          </cell>
          <cell r="W9" t="str">
            <v>08宇部</v>
          </cell>
        </row>
        <row r="10">
          <cell r="P10" t="str">
            <v>3月下旬</v>
          </cell>
          <cell r="Q10" t="str">
            <v>mg</v>
          </cell>
          <cell r="W10" t="str">
            <v>09下関</v>
          </cell>
        </row>
        <row r="11">
          <cell r="P11" t="str">
            <v>4月上旬</v>
          </cell>
          <cell r="Q11" t="str">
            <v>本</v>
          </cell>
          <cell r="W11" t="str">
            <v>10豊田</v>
          </cell>
        </row>
        <row r="12">
          <cell r="P12" t="str">
            <v>4月中旬</v>
          </cell>
          <cell r="Q12" t="str">
            <v>個</v>
          </cell>
          <cell r="W12" t="str">
            <v>11油谷</v>
          </cell>
        </row>
        <row r="13">
          <cell r="P13" t="str">
            <v>4月下旬</v>
          </cell>
          <cell r="Q13" t="str">
            <v>kw</v>
          </cell>
          <cell r="W13" t="str">
            <v>12萩</v>
          </cell>
        </row>
        <row r="14">
          <cell r="P14" t="str">
            <v>5月上旬</v>
          </cell>
          <cell r="Q14" t="str">
            <v>袋</v>
          </cell>
          <cell r="W14" t="str">
            <v>13徳佐</v>
          </cell>
        </row>
        <row r="15">
          <cell r="P15" t="str">
            <v>5月中旬</v>
          </cell>
          <cell r="Q15" t="str">
            <v>箱</v>
          </cell>
          <cell r="W15" t="str">
            <v>14須佐</v>
          </cell>
        </row>
        <row r="16">
          <cell r="P16" t="str">
            <v>5月下旬</v>
          </cell>
          <cell r="Q16" t="str">
            <v>円</v>
          </cell>
        </row>
        <row r="17">
          <cell r="P17" t="str">
            <v>6月上旬</v>
          </cell>
          <cell r="Q17" t="str">
            <v>枚</v>
          </cell>
        </row>
        <row r="18">
          <cell r="P18" t="str">
            <v>6月中旬</v>
          </cell>
          <cell r="Q18" t="str">
            <v>組</v>
          </cell>
        </row>
        <row r="19">
          <cell r="P19" t="str">
            <v>6月下旬</v>
          </cell>
          <cell r="Q19" t="str">
            <v>台</v>
          </cell>
        </row>
        <row r="20">
          <cell r="P20" t="str">
            <v>7月上旬</v>
          </cell>
          <cell r="Q20" t="str">
            <v>巻</v>
          </cell>
        </row>
        <row r="21">
          <cell r="P21" t="str">
            <v>7月中旬</v>
          </cell>
          <cell r="Q21" t="str">
            <v>時間</v>
          </cell>
        </row>
        <row r="22">
          <cell r="P22" t="str">
            <v>7月下旬</v>
          </cell>
          <cell r="Q22" t="str">
            <v>回</v>
          </cell>
        </row>
        <row r="23">
          <cell r="P23" t="str">
            <v>8月上旬</v>
          </cell>
          <cell r="Q23" t="str">
            <v>年間</v>
          </cell>
        </row>
        <row r="24">
          <cell r="P24" t="str">
            <v>8月中旬</v>
          </cell>
          <cell r="Q24" t="str">
            <v>Kg（本鉢・個）／10a</v>
          </cell>
        </row>
        <row r="25">
          <cell r="P25" t="str">
            <v>8月下旬</v>
          </cell>
          <cell r="Q25" t="str">
            <v>箱／10a</v>
          </cell>
        </row>
        <row r="26">
          <cell r="P26" t="str">
            <v>9月上旬</v>
          </cell>
          <cell r="Q26" t="str">
            <v>円／10a</v>
          </cell>
        </row>
        <row r="27">
          <cell r="P27" t="str">
            <v>9月中旬</v>
          </cell>
          <cell r="Q27" t="str">
            <v>円／10a</v>
          </cell>
        </row>
        <row r="28">
          <cell r="P28" t="str">
            <v>9月下旬</v>
          </cell>
          <cell r="Q28" t="str">
            <v>円／Kg（本鉢・個）</v>
          </cell>
        </row>
        <row r="29">
          <cell r="P29" t="str">
            <v>10月上旬</v>
          </cell>
          <cell r="Q29" t="str">
            <v>円／箱</v>
          </cell>
        </row>
        <row r="30">
          <cell r="P30" t="str">
            <v>10月中旬</v>
          </cell>
          <cell r="Q30" t="str">
            <v>円／10a</v>
          </cell>
        </row>
        <row r="31">
          <cell r="P31" t="str">
            <v>10月下旬</v>
          </cell>
          <cell r="Q31" t="str">
            <v>円／10a</v>
          </cell>
        </row>
        <row r="32">
          <cell r="P32" t="str">
            <v>11月上旬</v>
          </cell>
          <cell r="Q32" t="str">
            <v>単位</v>
          </cell>
        </row>
        <row r="33">
          <cell r="P33" t="str">
            <v>11月中旬</v>
          </cell>
        </row>
        <row r="34">
          <cell r="P34" t="str">
            <v>11月下旬</v>
          </cell>
        </row>
        <row r="35">
          <cell r="P35" t="str">
            <v>12月上旬</v>
          </cell>
        </row>
        <row r="36">
          <cell r="P36" t="str">
            <v>12月中旬</v>
          </cell>
        </row>
        <row r="37">
          <cell r="P37" t="str">
            <v>12月下旬</v>
          </cell>
        </row>
        <row r="38">
          <cell r="P38" t="str">
            <v>通年</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指標"/>
      <sheetName val="労働時間表"/>
      <sheetName val="前提条件"/>
      <sheetName val="算出根基１（粗収益・物財費）"/>
      <sheetName val="算出根基２（労働時間他）"/>
      <sheetName val="算出根基３（減価償却費等）"/>
      <sheetName val="Z-BFM(指標編集)"/>
      <sheetName val="シート設計"/>
    </sheetNames>
    <sheetDataSet>
      <sheetData sheetId="0" refreshError="1"/>
      <sheetData sheetId="1" refreshError="1"/>
      <sheetData sheetId="2">
        <row r="23">
          <cell r="A23" t="str">
            <v>育苗管理</v>
          </cell>
        </row>
        <row r="24">
          <cell r="A24" t="str">
            <v>定植準備</v>
          </cell>
        </row>
        <row r="25">
          <cell r="A25" t="str">
            <v>ハウス管理</v>
          </cell>
        </row>
        <row r="26">
          <cell r="A26" t="str">
            <v>肥培管理</v>
          </cell>
        </row>
        <row r="27">
          <cell r="A27" t="str">
            <v>定植</v>
          </cell>
        </row>
        <row r="28">
          <cell r="A28" t="str">
            <v>誘引</v>
          </cell>
        </row>
        <row r="29">
          <cell r="A29" t="str">
            <v>芽かぎ、葉かぎ</v>
          </cell>
        </row>
        <row r="30">
          <cell r="A30" t="str">
            <v>交配処理</v>
          </cell>
        </row>
        <row r="31">
          <cell r="A31" t="str">
            <v>摘果</v>
          </cell>
        </row>
        <row r="32">
          <cell r="A32" t="str">
            <v>薬剤散布</v>
          </cell>
        </row>
        <row r="33">
          <cell r="A33" t="str">
            <v>収穫</v>
          </cell>
        </row>
        <row r="34">
          <cell r="A34" t="str">
            <v>選果、出荷</v>
          </cell>
        </row>
        <row r="35">
          <cell r="A35" t="str">
            <v>後片付け</v>
          </cell>
        </row>
      </sheetData>
      <sheetData sheetId="3">
        <row r="22">
          <cell r="P22" t="str">
            <v>ガソリン</v>
          </cell>
        </row>
        <row r="23">
          <cell r="P23" t="str">
            <v>軽油</v>
          </cell>
        </row>
        <row r="24">
          <cell r="P24" t="str">
            <v>重油</v>
          </cell>
        </row>
        <row r="25">
          <cell r="P25" t="str">
            <v>灯油</v>
          </cell>
        </row>
        <row r="26">
          <cell r="P26" t="str">
            <v>電気代</v>
          </cell>
        </row>
      </sheetData>
      <sheetData sheetId="4">
        <row r="5">
          <cell r="T5" t="str">
            <v>1月上旬</v>
          </cell>
        </row>
        <row r="6">
          <cell r="T6" t="str">
            <v>1月中旬</v>
          </cell>
        </row>
        <row r="7">
          <cell r="T7" t="str">
            <v>1月下旬</v>
          </cell>
        </row>
        <row r="8">
          <cell r="T8" t="str">
            <v>2月上旬</v>
          </cell>
        </row>
        <row r="9">
          <cell r="T9" t="str">
            <v>2月中旬</v>
          </cell>
        </row>
        <row r="10">
          <cell r="T10" t="str">
            <v>2月下旬</v>
          </cell>
        </row>
        <row r="11">
          <cell r="T11" t="str">
            <v>3月上旬</v>
          </cell>
        </row>
        <row r="12">
          <cell r="T12" t="str">
            <v>3月中旬</v>
          </cell>
        </row>
        <row r="13">
          <cell r="T13" t="str">
            <v>3月下旬</v>
          </cell>
        </row>
        <row r="14">
          <cell r="T14" t="str">
            <v>4月上旬</v>
          </cell>
        </row>
        <row r="15">
          <cell r="T15" t="str">
            <v>4月中旬</v>
          </cell>
        </row>
        <row r="16">
          <cell r="T16" t="str">
            <v>4月下旬</v>
          </cell>
        </row>
        <row r="17">
          <cell r="T17" t="str">
            <v>5月上旬</v>
          </cell>
        </row>
        <row r="18">
          <cell r="T18" t="str">
            <v>5月中旬</v>
          </cell>
        </row>
        <row r="19">
          <cell r="T19" t="str">
            <v>5月下旬</v>
          </cell>
        </row>
        <row r="20">
          <cell r="T20" t="str">
            <v>6月上旬</v>
          </cell>
        </row>
        <row r="21">
          <cell r="T21" t="str">
            <v>6月中旬</v>
          </cell>
        </row>
        <row r="22">
          <cell r="T22" t="str">
            <v>6月下旬</v>
          </cell>
        </row>
        <row r="23">
          <cell r="T23" t="str">
            <v>7月上旬</v>
          </cell>
        </row>
        <row r="24">
          <cell r="T24" t="str">
            <v>7月中旬</v>
          </cell>
        </row>
        <row r="25">
          <cell r="T25" t="str">
            <v>7月下旬</v>
          </cell>
        </row>
        <row r="26">
          <cell r="T26" t="str">
            <v>8月上旬</v>
          </cell>
        </row>
        <row r="27">
          <cell r="T27" t="str">
            <v>8月中旬</v>
          </cell>
        </row>
        <row r="28">
          <cell r="T28" t="str">
            <v>8月下旬</v>
          </cell>
        </row>
        <row r="29">
          <cell r="T29" t="str">
            <v>9月上旬</v>
          </cell>
        </row>
        <row r="30">
          <cell r="T30" t="str">
            <v>9月中旬</v>
          </cell>
        </row>
        <row r="31">
          <cell r="T31" t="str">
            <v>9月下旬</v>
          </cell>
        </row>
        <row r="32">
          <cell r="T32" t="str">
            <v>10月上旬</v>
          </cell>
        </row>
        <row r="33">
          <cell r="T33" t="str">
            <v>10月中旬</v>
          </cell>
        </row>
        <row r="34">
          <cell r="T34" t="str">
            <v>10月下旬</v>
          </cell>
        </row>
        <row r="35">
          <cell r="T35" t="str">
            <v>11月上旬</v>
          </cell>
        </row>
        <row r="36">
          <cell r="T36" t="str">
            <v>11月中旬</v>
          </cell>
        </row>
        <row r="37">
          <cell r="T37" t="str">
            <v>11月下旬</v>
          </cell>
        </row>
        <row r="38">
          <cell r="T38" t="str">
            <v>11月中旬</v>
          </cell>
        </row>
        <row r="39">
          <cell r="T39" t="str">
            <v>11月下旬</v>
          </cell>
        </row>
        <row r="40">
          <cell r="T40" t="str">
            <v>12月上旬</v>
          </cell>
        </row>
        <row r="41">
          <cell r="T41" t="str">
            <v>12月中旬</v>
          </cell>
        </row>
        <row r="42">
          <cell r="T42" t="str">
            <v>12月下旬</v>
          </cell>
        </row>
      </sheetData>
      <sheetData sheetId="5">
        <row r="14">
          <cell r="C14" t="str">
            <v>動力噴霧器</v>
          </cell>
          <cell r="D14" t="str">
            <v>セット動噴5MPa</v>
          </cell>
        </row>
        <row r="15">
          <cell r="C15" t="str">
            <v>軽トラック</v>
          </cell>
          <cell r="D15" t="str">
            <v>660ｃｃ、4WD</v>
          </cell>
        </row>
      </sheetData>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C000"/>
    <pageSetUpPr fitToPage="1"/>
  </sheetPr>
  <dimension ref="A1:J119"/>
  <sheetViews>
    <sheetView showGridLines="0" workbookViewId="0">
      <pane xSplit="4" ySplit="2" topLeftCell="E14" activePane="bottomRight" state="frozen"/>
      <selection pane="topRight" activeCell="E1" sqref="E1"/>
      <selection pane="bottomLeft" activeCell="A3" sqref="A3"/>
      <selection pane="bottomRight" activeCell="B49" sqref="B49"/>
    </sheetView>
  </sheetViews>
  <sheetFormatPr defaultRowHeight="12" zeroHeight="1"/>
  <cols>
    <col min="1" max="3" width="3.625" style="462" customWidth="1"/>
    <col min="4" max="4" width="21.625" style="464" customWidth="1"/>
    <col min="5" max="5" width="12.125" style="462" customWidth="1"/>
    <col min="6" max="6" width="14.25" style="462" customWidth="1"/>
    <col min="7" max="7" width="27.75" style="462" bestFit="1" customWidth="1"/>
    <col min="8" max="8" width="14.125" style="462" customWidth="1"/>
    <col min="9" max="9" width="12" style="462" customWidth="1"/>
    <col min="10" max="10" width="5.375" style="462" customWidth="1"/>
    <col min="11" max="16384" width="9" style="462"/>
  </cols>
  <sheetData>
    <row r="1" spans="1:9" ht="21" customHeight="1">
      <c r="A1" s="44" t="s">
        <v>260</v>
      </c>
      <c r="B1" s="44"/>
      <c r="C1" s="44"/>
      <c r="D1" s="44"/>
      <c r="E1" s="459"/>
      <c r="F1" s="459"/>
      <c r="G1" s="460"/>
      <c r="H1" s="459" t="str">
        <f>①技術体系!A2</f>
        <v>トマト</v>
      </c>
      <c r="I1" s="461"/>
    </row>
    <row r="2" spans="1:9" ht="21" customHeight="1">
      <c r="A2" s="759" t="s">
        <v>144</v>
      </c>
      <c r="B2" s="759"/>
      <c r="C2" s="759"/>
      <c r="D2" s="759"/>
      <c r="E2" s="45" t="s">
        <v>145</v>
      </c>
      <c r="F2" s="46">
        <f>想定面積</f>
        <v>10</v>
      </c>
      <c r="G2" s="775" t="s">
        <v>146</v>
      </c>
      <c r="H2" s="775"/>
      <c r="I2" s="775"/>
    </row>
    <row r="3" spans="1:9" ht="21" customHeight="1">
      <c r="A3" s="776" t="s">
        <v>112</v>
      </c>
      <c r="B3" s="778" t="s">
        <v>147</v>
      </c>
      <c r="C3" s="778"/>
      <c r="D3" s="778"/>
      <c r="E3" s="47">
        <f>④収入!D21</f>
        <v>4498600</v>
      </c>
      <c r="F3" s="47">
        <f>E3*$F$2/10</f>
        <v>4498600</v>
      </c>
      <c r="G3" s="779" t="s">
        <v>436</v>
      </c>
      <c r="H3" s="779"/>
      <c r="I3" s="779"/>
    </row>
    <row r="4" spans="1:9" ht="21" customHeight="1">
      <c r="A4" s="776"/>
      <c r="B4" s="747" t="s">
        <v>148</v>
      </c>
      <c r="C4" s="747"/>
      <c r="D4" s="747"/>
      <c r="E4" s="48">
        <f>④収入!E21</f>
        <v>0</v>
      </c>
      <c r="F4" s="48">
        <f>E4*$F$2/10</f>
        <v>0</v>
      </c>
      <c r="G4" s="748" t="s">
        <v>437</v>
      </c>
      <c r="H4" s="748"/>
      <c r="I4" s="748"/>
    </row>
    <row r="5" spans="1:9" ht="21" customHeight="1">
      <c r="A5" s="777"/>
      <c r="B5" s="752" t="s">
        <v>435</v>
      </c>
      <c r="C5" s="747"/>
      <c r="D5" s="747"/>
      <c r="E5" s="48">
        <f>④収入!F21</f>
        <v>0</v>
      </c>
      <c r="F5" s="48">
        <f>E5*$F$2/10</f>
        <v>0</v>
      </c>
      <c r="G5" s="748" t="s">
        <v>438</v>
      </c>
      <c r="H5" s="748"/>
      <c r="I5" s="748"/>
    </row>
    <row r="6" spans="1:9" ht="21" customHeight="1">
      <c r="A6" s="776"/>
      <c r="B6" s="749" t="s">
        <v>149</v>
      </c>
      <c r="C6" s="750"/>
      <c r="D6" s="750"/>
      <c r="E6" s="47">
        <f>SUM(E3:E5)</f>
        <v>4498600</v>
      </c>
      <c r="F6" s="47">
        <f>SUM(F3:F5)</f>
        <v>4498600</v>
      </c>
      <c r="G6" s="751"/>
      <c r="H6" s="751"/>
      <c r="I6" s="751"/>
    </row>
    <row r="7" spans="1:9" ht="21" customHeight="1">
      <c r="A7" s="760" t="s">
        <v>261</v>
      </c>
      <c r="B7" s="764" t="s">
        <v>150</v>
      </c>
      <c r="C7" s="439"/>
      <c r="D7" s="436" t="s">
        <v>98</v>
      </c>
      <c r="E7" s="284">
        <f>⑤支出!J8</f>
        <v>145600</v>
      </c>
      <c r="F7" s="285">
        <f>E7*$F$2/10</f>
        <v>145600</v>
      </c>
      <c r="G7" s="282" t="s">
        <v>439</v>
      </c>
      <c r="H7" s="50"/>
      <c r="I7" s="51"/>
    </row>
    <row r="8" spans="1:9" ht="21" customHeight="1">
      <c r="A8" s="761"/>
      <c r="B8" s="762"/>
      <c r="C8" s="440"/>
      <c r="D8" s="437" t="s">
        <v>95</v>
      </c>
      <c r="E8" s="378">
        <f>⑤支出!J21</f>
        <v>129719</v>
      </c>
      <c r="F8" s="379">
        <f>E8*$F$2/10</f>
        <v>129719</v>
      </c>
      <c r="G8" s="52" t="s">
        <v>440</v>
      </c>
      <c r="H8" s="52"/>
      <c r="I8" s="53"/>
    </row>
    <row r="9" spans="1:9" ht="21" customHeight="1">
      <c r="A9" s="761"/>
      <c r="B9" s="762"/>
      <c r="C9" s="440"/>
      <c r="D9" s="437" t="s">
        <v>151</v>
      </c>
      <c r="E9" s="378">
        <f>⑤支出!J50</f>
        <v>60875</v>
      </c>
      <c r="F9" s="379">
        <f>E9*$F$2/10</f>
        <v>60875</v>
      </c>
      <c r="G9" s="52" t="s">
        <v>441</v>
      </c>
      <c r="H9" s="52"/>
      <c r="I9" s="53"/>
    </row>
    <row r="10" spans="1:9" ht="21" customHeight="1">
      <c r="A10" s="761"/>
      <c r="B10" s="762"/>
      <c r="C10" s="440"/>
      <c r="D10" s="437" t="s">
        <v>152</v>
      </c>
      <c r="E10" s="378">
        <f>⑤支出!J60</f>
        <v>13358</v>
      </c>
      <c r="F10" s="379">
        <f>E10*$F$2/10</f>
        <v>13358</v>
      </c>
      <c r="G10" s="52" t="s">
        <v>442</v>
      </c>
      <c r="H10" s="52"/>
      <c r="I10" s="53"/>
    </row>
    <row r="11" spans="1:9" ht="21" customHeight="1">
      <c r="A11" s="761"/>
      <c r="B11" s="762"/>
      <c r="C11" s="440"/>
      <c r="D11" s="437" t="s">
        <v>115</v>
      </c>
      <c r="E11" s="378">
        <f>⑤支出!J93</f>
        <v>291297</v>
      </c>
      <c r="F11" s="379">
        <f>E11*$F$2/10</f>
        <v>291297</v>
      </c>
      <c r="G11" s="52" t="s">
        <v>443</v>
      </c>
      <c r="H11" s="52"/>
      <c r="I11" s="53"/>
    </row>
    <row r="12" spans="1:9" ht="21" customHeight="1">
      <c r="A12" s="761"/>
      <c r="B12" s="762"/>
      <c r="C12" s="440"/>
      <c r="D12" s="437" t="s">
        <v>153</v>
      </c>
      <c r="E12" s="48">
        <f>⑤支出!J100</f>
        <v>0</v>
      </c>
      <c r="F12" s="379">
        <f t="shared" ref="F12:F21" si="0">E12*$F$2/10</f>
        <v>0</v>
      </c>
      <c r="G12" s="52" t="s">
        <v>444</v>
      </c>
      <c r="H12" s="55"/>
      <c r="I12" s="56"/>
    </row>
    <row r="13" spans="1:9" ht="21" customHeight="1">
      <c r="A13" s="761"/>
      <c r="B13" s="762"/>
      <c r="C13" s="440"/>
      <c r="D13" s="438" t="s">
        <v>446</v>
      </c>
      <c r="E13" s="48">
        <f>⑤支出!J105</f>
        <v>0</v>
      </c>
      <c r="F13" s="379">
        <f t="shared" si="0"/>
        <v>0</v>
      </c>
      <c r="G13" s="52" t="s">
        <v>447</v>
      </c>
      <c r="H13" s="55"/>
      <c r="I13" s="56"/>
    </row>
    <row r="14" spans="1:9" ht="21" customHeight="1">
      <c r="A14" s="761"/>
      <c r="B14" s="762"/>
      <c r="C14" s="441"/>
      <c r="D14" s="438" t="s">
        <v>425</v>
      </c>
      <c r="E14" s="48">
        <f>⑤支出!J111</f>
        <v>0</v>
      </c>
      <c r="F14" s="379">
        <f t="shared" si="0"/>
        <v>0</v>
      </c>
      <c r="G14" s="52" t="s">
        <v>445</v>
      </c>
      <c r="H14" s="58"/>
      <c r="I14" s="57"/>
    </row>
    <row r="15" spans="1:9" ht="21" customHeight="1">
      <c r="A15" s="761"/>
      <c r="B15" s="761"/>
      <c r="C15" s="767" t="s">
        <v>414</v>
      </c>
      <c r="D15" s="380" t="s">
        <v>427</v>
      </c>
      <c r="E15" s="47">
        <f>②償却資産!S8</f>
        <v>5457</v>
      </c>
      <c r="F15" s="379">
        <f t="shared" si="0"/>
        <v>5457</v>
      </c>
      <c r="G15" s="59" t="s">
        <v>410</v>
      </c>
      <c r="H15" s="59"/>
      <c r="I15" s="283"/>
    </row>
    <row r="16" spans="1:9" ht="21" customHeight="1">
      <c r="A16" s="761"/>
      <c r="B16" s="761"/>
      <c r="C16" s="768"/>
      <c r="D16" s="287" t="s">
        <v>411</v>
      </c>
      <c r="E16" s="48">
        <f>②償却資産!S20</f>
        <v>88910</v>
      </c>
      <c r="F16" s="379">
        <f t="shared" ref="F16" si="1">E16*$F$2/10</f>
        <v>88910</v>
      </c>
      <c r="G16" s="59" t="s">
        <v>412</v>
      </c>
      <c r="H16" s="59"/>
      <c r="I16" s="283"/>
    </row>
    <row r="17" spans="1:9" ht="21" customHeight="1">
      <c r="A17" s="761"/>
      <c r="B17" s="761"/>
      <c r="C17" s="769"/>
      <c r="D17" s="286" t="s">
        <v>154</v>
      </c>
      <c r="E17" s="48">
        <f>②償却資産!S28</f>
        <v>42880</v>
      </c>
      <c r="F17" s="379">
        <f t="shared" si="0"/>
        <v>42880</v>
      </c>
      <c r="G17" s="59" t="s">
        <v>413</v>
      </c>
      <c r="H17" s="59"/>
      <c r="I17" s="283"/>
    </row>
    <row r="18" spans="1:9" ht="21" customHeight="1">
      <c r="A18" s="761"/>
      <c r="B18" s="761"/>
      <c r="C18" s="770" t="s">
        <v>415</v>
      </c>
      <c r="D18" s="380" t="s">
        <v>428</v>
      </c>
      <c r="E18" s="48">
        <f>②償却資産!R8</f>
        <v>22738</v>
      </c>
      <c r="F18" s="379">
        <f t="shared" si="0"/>
        <v>22738</v>
      </c>
      <c r="G18" s="59" t="s">
        <v>419</v>
      </c>
      <c r="H18" s="59"/>
      <c r="I18" s="283"/>
    </row>
    <row r="19" spans="1:9" ht="21" customHeight="1">
      <c r="A19" s="761"/>
      <c r="B19" s="761"/>
      <c r="C19" s="768"/>
      <c r="D19" s="287" t="s">
        <v>416</v>
      </c>
      <c r="E19" s="47">
        <f>②償却資産!R20</f>
        <v>664730</v>
      </c>
      <c r="F19" s="379">
        <f t="shared" si="0"/>
        <v>664730</v>
      </c>
      <c r="G19" s="59" t="s">
        <v>489</v>
      </c>
      <c r="H19" s="59"/>
      <c r="I19" s="283"/>
    </row>
    <row r="20" spans="1:9" ht="21" customHeight="1">
      <c r="A20" s="761"/>
      <c r="B20" s="761"/>
      <c r="C20" s="768"/>
      <c r="D20" s="287" t="s">
        <v>417</v>
      </c>
      <c r="E20" s="48">
        <f>②償却資産!R28</f>
        <v>185285</v>
      </c>
      <c r="F20" s="379">
        <f t="shared" si="0"/>
        <v>185285</v>
      </c>
      <c r="G20" s="59" t="s">
        <v>490</v>
      </c>
      <c r="H20" s="59"/>
      <c r="I20" s="283"/>
    </row>
    <row r="21" spans="1:9" ht="21" customHeight="1">
      <c r="A21" s="761"/>
      <c r="B21" s="761"/>
      <c r="C21" s="769"/>
      <c r="D21" s="287" t="s">
        <v>418</v>
      </c>
      <c r="E21" s="48">
        <f>②償却資産!R31</f>
        <v>0</v>
      </c>
      <c r="F21" s="379">
        <f t="shared" si="0"/>
        <v>0</v>
      </c>
      <c r="G21" s="59" t="s">
        <v>491</v>
      </c>
      <c r="H21" s="59"/>
      <c r="I21" s="60"/>
    </row>
    <row r="22" spans="1:9" ht="21" customHeight="1">
      <c r="A22" s="761"/>
      <c r="B22" s="765"/>
      <c r="C22" s="447"/>
      <c r="D22" s="442" t="s">
        <v>256</v>
      </c>
      <c r="E22" s="61">
        <f>⑤支出!J117</f>
        <v>1026146</v>
      </c>
      <c r="F22" s="288">
        <f>(作業体系表!AN33-作業体系表!AN35)*⑤支出!F112+作業体系表!AN35*⑤支出!F113</f>
        <v>1026146.16</v>
      </c>
      <c r="G22" s="753" t="str">
        <f>"⑤支出　労働費　※基幹労働(時給"&amp;⑤支出!F112&amp;"円、自家労賃含む)、補助労働(時給"&amp;⑤支出!F113&amp;"円)"</f>
        <v>⑤支出　労働費　※基幹労働(時給962円、自家労賃含む)、補助労働(時給753円)</v>
      </c>
      <c r="H22" s="754"/>
      <c r="I22" s="755"/>
    </row>
    <row r="23" spans="1:9" ht="21" customHeight="1">
      <c r="A23" s="761"/>
      <c r="B23" s="766"/>
      <c r="C23" s="454"/>
      <c r="D23" s="455" t="s">
        <v>155</v>
      </c>
      <c r="E23" s="62">
        <f>SUM(E7:E22)</f>
        <v>2676995</v>
      </c>
      <c r="F23" s="289">
        <f>SUM(F7:F22)</f>
        <v>2676995.16</v>
      </c>
      <c r="G23" s="63"/>
      <c r="H23" s="63"/>
      <c r="I23" s="64"/>
    </row>
    <row r="24" spans="1:9" ht="21" customHeight="1">
      <c r="A24" s="761"/>
      <c r="B24" s="773" t="s">
        <v>125</v>
      </c>
      <c r="C24" s="447"/>
      <c r="D24" s="456" t="s">
        <v>156</v>
      </c>
      <c r="E24" s="65">
        <f>⑤支出!J121+⑤支出!J122+⑤支出!J123</f>
        <v>539832</v>
      </c>
      <c r="F24" s="290">
        <f>E24*$F$2/10</f>
        <v>539832</v>
      </c>
      <c r="G24" s="745" t="str">
        <f>"⑤支出　"&amp;⑤支出!B118&amp;"　"&amp;⑤支出!C121&amp;"、"&amp;⑤支出!C122&amp;"、"&amp;⑤支出!C123</f>
        <v>⑤支出　販売費用　ＪＡ手数料、全農手数料、市場手数料</v>
      </c>
      <c r="H24" s="746"/>
      <c r="I24" s="746"/>
    </row>
    <row r="25" spans="1:9" ht="21" customHeight="1">
      <c r="A25" s="761"/>
      <c r="B25" s="765"/>
      <c r="C25" s="448"/>
      <c r="D25" s="443" t="s">
        <v>126</v>
      </c>
      <c r="E25" s="48">
        <f>⑤支出!J119</f>
        <v>189000</v>
      </c>
      <c r="F25" s="379">
        <f>E25*$F$2/10</f>
        <v>189000</v>
      </c>
      <c r="G25" s="66" t="str">
        <f>"⑤支出　"&amp;⑤支出!B118&amp;"　"&amp;⑤支出!C119</f>
        <v>⑤支出　販売費用　出荷運賃</v>
      </c>
      <c r="H25" s="66"/>
      <c r="I25" s="67"/>
    </row>
    <row r="26" spans="1:9" ht="21" customHeight="1">
      <c r="A26" s="761"/>
      <c r="B26" s="765"/>
      <c r="C26" s="448"/>
      <c r="D26" s="451" t="s">
        <v>157</v>
      </c>
      <c r="E26" s="47">
        <f>⑤支出!J118</f>
        <v>313500</v>
      </c>
      <c r="F26" s="291">
        <f>E26*$F$2/10</f>
        <v>313500</v>
      </c>
      <c r="G26" s="66" t="str">
        <f>"⑤支出　"&amp;⑤支出!B118&amp;"　"&amp;⑤支出!C118</f>
        <v>⑤支出　販売費用　出荷資材（ﾀﾞﾝﾎﾞｰﾙ）</v>
      </c>
      <c r="H26" s="54"/>
      <c r="I26" s="68"/>
    </row>
    <row r="27" spans="1:9" ht="21" customHeight="1">
      <c r="A27" s="761"/>
      <c r="B27" s="765"/>
      <c r="C27" s="448"/>
      <c r="D27" s="443" t="s">
        <v>158</v>
      </c>
      <c r="E27" s="48">
        <f>⑤支出!J120</f>
        <v>409500</v>
      </c>
      <c r="F27" s="379">
        <f>E27*$F$2/10</f>
        <v>409500</v>
      </c>
      <c r="G27" s="66" t="str">
        <f>"⑤支出　"&amp;⑤支出!B118&amp;"　"&amp;⑤支出!C120</f>
        <v>⑤支出　販売費用　選果料</v>
      </c>
      <c r="H27" s="59"/>
      <c r="I27" s="283"/>
    </row>
    <row r="28" spans="1:9" ht="21" customHeight="1">
      <c r="A28" s="761"/>
      <c r="B28" s="765"/>
      <c r="C28" s="448"/>
      <c r="D28" s="452" t="s">
        <v>159</v>
      </c>
      <c r="E28" s="61">
        <f>⑤支出!J128-⑤支出!J118-⑤支出!J119-⑤支出!J120-⑤支出!J121-⑤支出!J122-⑤支出!J123</f>
        <v>0</v>
      </c>
      <c r="F28" s="288">
        <f>E28*$F$2/10</f>
        <v>0</v>
      </c>
      <c r="G28" s="66" t="str">
        <f>"⑤支出　"&amp;⑤支出!B118</f>
        <v>⑤支出　販売費用</v>
      </c>
      <c r="H28" s="295"/>
      <c r="I28" s="296"/>
    </row>
    <row r="29" spans="1:9" ht="21" customHeight="1">
      <c r="A29" s="761"/>
      <c r="B29" s="766"/>
      <c r="C29" s="453"/>
      <c r="D29" s="446" t="s">
        <v>155</v>
      </c>
      <c r="E29" s="62">
        <f>SUM(E24:E28)</f>
        <v>1451832</v>
      </c>
      <c r="F29" s="289">
        <f>SUM(F24:F28)</f>
        <v>1451832</v>
      </c>
      <c r="G29" s="63"/>
      <c r="H29" s="63"/>
      <c r="I29" s="64"/>
    </row>
    <row r="30" spans="1:9" ht="21" customHeight="1">
      <c r="A30" s="761"/>
      <c r="B30" s="773" t="s">
        <v>108</v>
      </c>
      <c r="C30" s="450"/>
      <c r="D30" s="444" t="s">
        <v>277</v>
      </c>
      <c r="E30" s="47">
        <f>②償却資産!L41</f>
        <v>39207</v>
      </c>
      <c r="F30" s="291">
        <f t="shared" ref="F30:F34" si="2">E30*$F$2/10</f>
        <v>39207</v>
      </c>
      <c r="G30" s="743" t="str">
        <f>CONCATENATE("償却資産取得額の",FIXED(②償却資産!$L$37*100,0),"%を利率",FIXED(②償却資産!$L$40*100,0),"%で借入")</f>
        <v>償却資産取得額の50%を利率2%で借入</v>
      </c>
      <c r="H30" s="744"/>
      <c r="I30" s="744"/>
    </row>
    <row r="31" spans="1:9" ht="21" customHeight="1">
      <c r="A31" s="761"/>
      <c r="B31" s="765"/>
      <c r="C31" s="448"/>
      <c r="D31" s="472" t="s">
        <v>257</v>
      </c>
      <c r="E31" s="48">
        <f>⑤支出!J133</f>
        <v>0</v>
      </c>
      <c r="F31" s="379">
        <f t="shared" si="2"/>
        <v>0</v>
      </c>
      <c r="G31" s="740" t="s">
        <v>458</v>
      </c>
      <c r="H31" s="741"/>
      <c r="I31" s="742"/>
    </row>
    <row r="32" spans="1:9" ht="21" customHeight="1">
      <c r="A32" s="761"/>
      <c r="B32" s="765"/>
      <c r="C32" s="448"/>
      <c r="D32" s="445" t="s">
        <v>451</v>
      </c>
      <c r="E32" s="61">
        <f>⑤支出!J138</f>
        <v>35000</v>
      </c>
      <c r="F32" s="288">
        <f t="shared" si="2"/>
        <v>35000</v>
      </c>
      <c r="G32" s="740" t="s">
        <v>459</v>
      </c>
      <c r="H32" s="741"/>
      <c r="I32" s="742"/>
    </row>
    <row r="33" spans="1:10" ht="21" customHeight="1">
      <c r="A33" s="761"/>
      <c r="B33" s="765"/>
      <c r="C33" s="448"/>
      <c r="D33" s="445" t="s">
        <v>453</v>
      </c>
      <c r="E33" s="61">
        <f>⑤支出!J143</f>
        <v>0</v>
      </c>
      <c r="F33" s="288">
        <f t="shared" si="2"/>
        <v>0</v>
      </c>
      <c r="G33" s="740" t="s">
        <v>460</v>
      </c>
      <c r="H33" s="741"/>
      <c r="I33" s="742"/>
    </row>
    <row r="34" spans="1:10" ht="21" customHeight="1">
      <c r="A34" s="762"/>
      <c r="B34" s="774"/>
      <c r="C34" s="448"/>
      <c r="D34" s="445" t="s">
        <v>455</v>
      </c>
      <c r="E34" s="61">
        <f>⑤支出!J148</f>
        <v>2600</v>
      </c>
      <c r="F34" s="288">
        <f t="shared" si="2"/>
        <v>2600</v>
      </c>
      <c r="G34" s="740" t="s">
        <v>461</v>
      </c>
      <c r="H34" s="741"/>
      <c r="I34" s="742"/>
    </row>
    <row r="35" spans="1:10" ht="21" customHeight="1">
      <c r="A35" s="761"/>
      <c r="B35" s="765"/>
      <c r="C35" s="448"/>
      <c r="D35" s="445" t="s">
        <v>462</v>
      </c>
      <c r="E35" s="61">
        <f>⑤支出!J160</f>
        <v>45000</v>
      </c>
      <c r="F35" s="288">
        <f>E35*$F$2/10</f>
        <v>45000</v>
      </c>
      <c r="G35" s="740" t="s">
        <v>463</v>
      </c>
      <c r="H35" s="741"/>
      <c r="I35" s="742"/>
    </row>
    <row r="36" spans="1:10" ht="21" customHeight="1">
      <c r="A36" s="761"/>
      <c r="B36" s="766"/>
      <c r="C36" s="449"/>
      <c r="D36" s="446" t="s">
        <v>155</v>
      </c>
      <c r="E36" s="292">
        <f>SUM(E30:E35)</f>
        <v>121807</v>
      </c>
      <c r="F36" s="293">
        <f>SUM(F30:F35)</f>
        <v>121807</v>
      </c>
      <c r="G36" s="63"/>
      <c r="H36" s="63"/>
      <c r="I36" s="64"/>
    </row>
    <row r="37" spans="1:10" ht="21" customHeight="1">
      <c r="A37" s="763"/>
      <c r="B37" s="771" t="s">
        <v>161</v>
      </c>
      <c r="C37" s="771"/>
      <c r="D37" s="772"/>
      <c r="E37" s="49">
        <f>E23+E29+E36</f>
        <v>4250634</v>
      </c>
      <c r="F37" s="49">
        <f>F23+F29+F36</f>
        <v>4250634.16</v>
      </c>
      <c r="G37" s="69"/>
      <c r="H37" s="70"/>
      <c r="I37" s="68"/>
    </row>
    <row r="38" spans="1:10" ht="21" customHeight="1">
      <c r="A38" s="71"/>
      <c r="B38" s="72" t="s">
        <v>258</v>
      </c>
      <c r="C38" s="72"/>
      <c r="D38" s="72"/>
      <c r="E38" s="73">
        <f>E6-E37</f>
        <v>247966</v>
      </c>
      <c r="F38" s="73">
        <f>F6-F37</f>
        <v>247965.83999999985</v>
      </c>
      <c r="G38" s="74" t="str">
        <f>IF(E6=0,"",CONCATENATE("所得率",FIXED($E$38/$E$6*100,0),"%"))</f>
        <v>所得率6%</v>
      </c>
      <c r="H38" s="75"/>
      <c r="I38" s="76"/>
    </row>
    <row r="39" spans="1:10" ht="21" customHeight="1">
      <c r="A39" s="756" t="s">
        <v>259</v>
      </c>
      <c r="B39" s="757"/>
      <c r="C39" s="757"/>
      <c r="D39" s="758"/>
      <c r="E39" s="77">
        <f>E22+E31+E38</f>
        <v>1274112</v>
      </c>
      <c r="F39" s="78">
        <f>F22+F31+F38</f>
        <v>1274112</v>
      </c>
      <c r="G39" s="79"/>
      <c r="H39" s="79"/>
      <c r="I39" s="80"/>
    </row>
    <row r="40" spans="1:10" ht="21" customHeight="1">
      <c r="A40" s="95"/>
      <c r="B40" s="95"/>
      <c r="C40" s="95"/>
      <c r="D40" s="463"/>
      <c r="E40" s="95"/>
      <c r="F40" s="95"/>
      <c r="G40" s="95"/>
      <c r="H40" s="95"/>
      <c r="I40" s="95"/>
      <c r="J40" s="95"/>
    </row>
    <row r="41" spans="1:10" ht="21" customHeight="1">
      <c r="A41" s="95"/>
      <c r="B41" s="95"/>
      <c r="C41" s="95"/>
      <c r="D41" s="463"/>
      <c r="E41" s="95"/>
      <c r="F41" s="95"/>
      <c r="G41" s="95"/>
      <c r="H41" s="95"/>
      <c r="I41" s="95"/>
      <c r="J41" s="95"/>
    </row>
    <row r="42" spans="1:10" ht="21" customHeight="1">
      <c r="A42" s="95"/>
      <c r="B42" s="95"/>
      <c r="C42" s="95"/>
      <c r="D42" s="463"/>
      <c r="E42" s="95"/>
      <c r="F42" s="95"/>
      <c r="G42" s="95"/>
      <c r="H42" s="95"/>
      <c r="I42" s="95"/>
      <c r="J42" s="95"/>
    </row>
    <row r="43" spans="1:10" ht="21" customHeight="1">
      <c r="A43" s="95"/>
      <c r="B43" s="95"/>
      <c r="C43" s="95"/>
      <c r="D43" s="463"/>
      <c r="E43" s="95"/>
      <c r="F43" s="95"/>
      <c r="G43" s="95"/>
      <c r="H43" s="95"/>
      <c r="I43" s="95"/>
      <c r="J43" s="95"/>
    </row>
    <row r="44" spans="1:10" ht="21" customHeight="1">
      <c r="A44" s="95"/>
      <c r="B44" s="95"/>
      <c r="C44" s="95"/>
      <c r="D44" s="463"/>
      <c r="E44" s="95"/>
      <c r="F44" s="95"/>
      <c r="G44" s="95"/>
      <c r="H44" s="95"/>
      <c r="I44" s="95"/>
      <c r="J44" s="95"/>
    </row>
    <row r="45" spans="1:10" ht="21" customHeight="1">
      <c r="A45" s="95"/>
      <c r="B45" s="95"/>
      <c r="C45" s="95"/>
      <c r="D45" s="463"/>
      <c r="E45" s="95"/>
      <c r="F45" s="95"/>
      <c r="G45" s="95"/>
      <c r="H45" s="95"/>
      <c r="I45" s="95"/>
      <c r="J45" s="95"/>
    </row>
    <row r="46" spans="1:10" ht="16.899999999999999" customHeight="1">
      <c r="A46" s="95"/>
      <c r="B46" s="95"/>
      <c r="C46" s="95"/>
      <c r="D46" s="463"/>
      <c r="E46" s="95"/>
      <c r="F46" s="95"/>
      <c r="G46" s="95"/>
      <c r="H46" s="95"/>
      <c r="I46" s="95"/>
      <c r="J46" s="95"/>
    </row>
    <row r="47" spans="1:10" ht="16.899999999999999" customHeight="1">
      <c r="A47" s="95"/>
      <c r="B47" s="95"/>
      <c r="C47" s="95"/>
      <c r="D47" s="463"/>
      <c r="E47" s="95"/>
      <c r="F47" s="95"/>
      <c r="G47" s="95"/>
      <c r="H47" s="95"/>
      <c r="I47" s="95"/>
      <c r="J47" s="95"/>
    </row>
    <row r="48" spans="1:10" ht="16.899999999999999" customHeight="1">
      <c r="A48" s="95"/>
      <c r="B48" s="95"/>
      <c r="C48" s="95"/>
      <c r="D48" s="463"/>
      <c r="E48" s="95"/>
      <c r="F48" s="95"/>
      <c r="G48" s="95"/>
      <c r="H48" s="95"/>
      <c r="I48" s="95"/>
      <c r="J48" s="95"/>
    </row>
    <row r="49" spans="1:10" ht="16.899999999999999" customHeight="1">
      <c r="A49" s="95"/>
      <c r="B49" s="95"/>
      <c r="C49" s="95"/>
      <c r="D49" s="463"/>
      <c r="E49" s="95"/>
      <c r="F49" s="95"/>
      <c r="G49" s="95"/>
      <c r="H49" s="95"/>
      <c r="I49" s="95"/>
      <c r="J49" s="95"/>
    </row>
    <row r="50" spans="1:10" ht="16.899999999999999" customHeight="1">
      <c r="A50" s="95"/>
      <c r="B50" s="95"/>
      <c r="C50" s="95"/>
      <c r="D50" s="463"/>
      <c r="E50" s="95"/>
      <c r="F50" s="95"/>
      <c r="G50" s="95"/>
      <c r="H50" s="95"/>
      <c r="I50" s="95"/>
      <c r="J50" s="95"/>
    </row>
    <row r="51" spans="1:10" ht="16.899999999999999" customHeight="1">
      <c r="A51" s="95"/>
      <c r="B51" s="95"/>
      <c r="C51" s="95"/>
      <c r="D51" s="463"/>
      <c r="E51" s="95"/>
      <c r="F51" s="95"/>
      <c r="G51" s="95"/>
      <c r="H51" s="95"/>
      <c r="I51" s="95"/>
      <c r="J51" s="95"/>
    </row>
    <row r="52" spans="1:10" ht="16.899999999999999" customHeight="1">
      <c r="A52" s="95"/>
      <c r="B52" s="95"/>
      <c r="C52" s="95"/>
      <c r="D52" s="463"/>
      <c r="E52" s="95"/>
      <c r="F52" s="95"/>
      <c r="G52" s="95"/>
      <c r="H52" s="95"/>
      <c r="I52" s="95"/>
      <c r="J52" s="95"/>
    </row>
    <row r="53" spans="1:10" ht="16.899999999999999" customHeight="1">
      <c r="A53" s="95"/>
      <c r="B53" s="95"/>
      <c r="C53" s="95"/>
      <c r="D53" s="463"/>
      <c r="E53" s="95"/>
      <c r="F53" s="95"/>
      <c r="G53" s="95"/>
      <c r="H53" s="95"/>
      <c r="I53" s="95"/>
      <c r="J53" s="95"/>
    </row>
    <row r="54" spans="1:10" ht="16.899999999999999" customHeight="1">
      <c r="A54" s="95"/>
      <c r="B54" s="95"/>
      <c r="C54" s="95"/>
      <c r="D54" s="463"/>
      <c r="E54" s="95"/>
      <c r="F54" s="95"/>
      <c r="G54" s="95"/>
      <c r="H54" s="95"/>
      <c r="I54" s="95"/>
      <c r="J54" s="95"/>
    </row>
    <row r="55" spans="1:10" ht="16.899999999999999" customHeight="1">
      <c r="A55" s="95"/>
      <c r="B55" s="95"/>
      <c r="C55" s="95"/>
      <c r="D55" s="463"/>
      <c r="E55" s="95"/>
      <c r="F55" s="95"/>
      <c r="G55" s="95"/>
      <c r="H55" s="95"/>
      <c r="I55" s="95"/>
      <c r="J55" s="95"/>
    </row>
    <row r="56" spans="1:10" ht="16.899999999999999" customHeight="1">
      <c r="A56" s="95"/>
      <c r="B56" s="95"/>
      <c r="C56" s="95"/>
      <c r="D56" s="463"/>
      <c r="E56" s="95"/>
      <c r="F56" s="95"/>
      <c r="G56" s="95"/>
      <c r="H56" s="95"/>
      <c r="I56" s="95"/>
      <c r="J56" s="95"/>
    </row>
    <row r="57" spans="1:10" ht="16.899999999999999" customHeight="1">
      <c r="A57" s="95"/>
      <c r="B57" s="95"/>
      <c r="C57" s="95"/>
      <c r="D57" s="463"/>
      <c r="E57" s="95"/>
      <c r="F57" s="95"/>
      <c r="G57" s="95"/>
      <c r="H57" s="95"/>
      <c r="I57" s="95"/>
      <c r="J57" s="95"/>
    </row>
    <row r="58" spans="1:10" ht="16.899999999999999" customHeight="1">
      <c r="A58" s="95"/>
      <c r="B58" s="95"/>
      <c r="C58" s="95"/>
      <c r="D58" s="463"/>
      <c r="E58" s="95"/>
      <c r="F58" s="95"/>
      <c r="G58" s="95"/>
      <c r="H58" s="95"/>
      <c r="I58" s="95"/>
      <c r="J58" s="95"/>
    </row>
    <row r="59" spans="1:10" ht="16.899999999999999" customHeight="1">
      <c r="A59" s="95"/>
      <c r="B59" s="95"/>
      <c r="C59" s="95"/>
      <c r="D59" s="463"/>
      <c r="E59" s="95"/>
      <c r="F59" s="95"/>
      <c r="G59" s="95"/>
      <c r="H59" s="95"/>
      <c r="I59" s="95"/>
      <c r="J59" s="95"/>
    </row>
    <row r="60" spans="1:10" ht="16.899999999999999" customHeight="1">
      <c r="A60" s="95"/>
      <c r="B60" s="95"/>
      <c r="C60" s="95"/>
      <c r="D60" s="463"/>
      <c r="E60" s="95"/>
      <c r="F60" s="95"/>
      <c r="G60" s="95"/>
      <c r="H60" s="95"/>
      <c r="I60" s="95"/>
      <c r="J60" s="95"/>
    </row>
    <row r="61" spans="1:10" ht="16.899999999999999" customHeight="1">
      <c r="A61" s="95"/>
      <c r="B61" s="95"/>
      <c r="C61" s="95"/>
      <c r="D61" s="463"/>
      <c r="E61" s="95"/>
      <c r="F61" s="95"/>
      <c r="G61" s="95"/>
      <c r="H61" s="95"/>
      <c r="I61" s="95"/>
      <c r="J61" s="95"/>
    </row>
    <row r="62" spans="1:10" ht="16.899999999999999" customHeight="1">
      <c r="A62" s="95"/>
      <c r="B62" s="95"/>
      <c r="C62" s="95"/>
      <c r="D62" s="463"/>
      <c r="E62" s="95"/>
      <c r="F62" s="95"/>
      <c r="G62" s="95"/>
      <c r="H62" s="95"/>
      <c r="I62" s="95"/>
      <c r="J62" s="95"/>
    </row>
    <row r="63" spans="1:10" ht="16.899999999999999" customHeight="1">
      <c r="A63" s="95"/>
      <c r="B63" s="95"/>
      <c r="C63" s="95"/>
      <c r="D63" s="463"/>
      <c r="E63" s="95"/>
      <c r="F63" s="95"/>
      <c r="G63" s="95"/>
      <c r="H63" s="95"/>
      <c r="I63" s="95"/>
      <c r="J63" s="95"/>
    </row>
    <row r="64" spans="1:10" ht="16.899999999999999" customHeight="1">
      <c r="A64" s="95"/>
      <c r="B64" s="95"/>
      <c r="C64" s="95"/>
      <c r="D64" s="463"/>
      <c r="E64" s="95"/>
      <c r="F64" s="95"/>
      <c r="G64" s="95"/>
      <c r="H64" s="95"/>
      <c r="I64" s="95"/>
      <c r="J64" s="95"/>
    </row>
    <row r="65" spans="1:10" ht="16.899999999999999" customHeight="1">
      <c r="A65" s="95"/>
      <c r="B65" s="95"/>
      <c r="C65" s="95"/>
      <c r="D65" s="463"/>
      <c r="E65" s="95"/>
      <c r="F65" s="95"/>
      <c r="G65" s="95"/>
      <c r="H65" s="95"/>
      <c r="I65" s="95"/>
      <c r="J65" s="95"/>
    </row>
    <row r="66" spans="1:10" ht="16.899999999999999" customHeight="1">
      <c r="A66" s="95"/>
      <c r="B66" s="95"/>
      <c r="C66" s="95"/>
      <c r="D66" s="463"/>
      <c r="E66" s="95"/>
      <c r="F66" s="95"/>
      <c r="G66" s="95"/>
      <c r="H66" s="95"/>
      <c r="I66" s="95"/>
      <c r="J66" s="95"/>
    </row>
    <row r="67" spans="1:10" ht="16.899999999999999" customHeight="1">
      <c r="A67" s="95"/>
      <c r="B67" s="95"/>
      <c r="C67" s="95"/>
      <c r="D67" s="463"/>
      <c r="E67" s="95"/>
      <c r="F67" s="95"/>
      <c r="G67" s="95"/>
      <c r="H67" s="95"/>
      <c r="I67" s="95"/>
      <c r="J67" s="95"/>
    </row>
    <row r="68" spans="1:10" ht="16.899999999999999" customHeight="1">
      <c r="A68" s="95"/>
      <c r="B68" s="95"/>
      <c r="C68" s="95"/>
      <c r="D68" s="463"/>
      <c r="E68" s="95"/>
      <c r="F68" s="95"/>
      <c r="G68" s="95"/>
      <c r="H68" s="95"/>
      <c r="I68" s="95"/>
      <c r="J68" s="95"/>
    </row>
    <row r="69" spans="1:10" ht="16.899999999999999" customHeight="1">
      <c r="A69" s="95"/>
      <c r="B69" s="95"/>
      <c r="C69" s="95"/>
      <c r="D69" s="463"/>
      <c r="E69" s="95"/>
      <c r="F69" s="95"/>
      <c r="G69" s="95"/>
      <c r="H69" s="95"/>
      <c r="I69" s="95"/>
      <c r="J69" s="95"/>
    </row>
    <row r="70" spans="1:10" ht="16.899999999999999" customHeight="1">
      <c r="A70" s="95"/>
      <c r="B70" s="95"/>
      <c r="C70" s="95"/>
      <c r="D70" s="463"/>
      <c r="E70" s="95"/>
      <c r="F70" s="95"/>
      <c r="G70" s="95"/>
      <c r="H70" s="95"/>
      <c r="I70" s="95"/>
      <c r="J70" s="95"/>
    </row>
    <row r="71" spans="1:10" ht="16.899999999999999" customHeight="1">
      <c r="A71" s="95"/>
      <c r="B71" s="95"/>
      <c r="C71" s="95"/>
      <c r="D71" s="463"/>
      <c r="E71" s="95"/>
      <c r="F71" s="95"/>
      <c r="G71" s="95"/>
      <c r="H71" s="95"/>
      <c r="I71" s="95"/>
      <c r="J71" s="95"/>
    </row>
    <row r="72" spans="1:10" ht="16.899999999999999" customHeight="1">
      <c r="A72" s="95"/>
      <c r="B72" s="95"/>
      <c r="C72" s="95"/>
      <c r="D72" s="463"/>
      <c r="E72" s="95"/>
      <c r="F72" s="95"/>
      <c r="G72" s="95"/>
      <c r="H72" s="95"/>
      <c r="I72" s="95"/>
      <c r="J72" s="95"/>
    </row>
    <row r="73" spans="1:10" ht="16.899999999999999" customHeight="1">
      <c r="A73" s="95"/>
      <c r="B73" s="95"/>
      <c r="C73" s="95"/>
      <c r="D73" s="463"/>
      <c r="E73" s="95"/>
      <c r="F73" s="95"/>
      <c r="G73" s="95"/>
      <c r="H73" s="95"/>
      <c r="I73" s="95"/>
      <c r="J73" s="95"/>
    </row>
    <row r="74" spans="1:10" ht="16.899999999999999" customHeight="1">
      <c r="A74" s="95"/>
      <c r="B74" s="95"/>
      <c r="C74" s="95"/>
      <c r="D74" s="463"/>
      <c r="E74" s="95"/>
      <c r="F74" s="95"/>
      <c r="G74" s="95"/>
      <c r="H74" s="95"/>
      <c r="I74" s="95"/>
      <c r="J74" s="95"/>
    </row>
    <row r="75" spans="1:10" ht="16.899999999999999" customHeight="1">
      <c r="A75" s="95"/>
      <c r="B75" s="95"/>
      <c r="C75" s="95"/>
      <c r="D75" s="463"/>
      <c r="E75" s="95"/>
      <c r="F75" s="95"/>
      <c r="G75" s="95"/>
      <c r="H75" s="95"/>
      <c r="I75" s="95"/>
      <c r="J75" s="95"/>
    </row>
    <row r="76" spans="1:10" ht="12.75" hidden="1" customHeight="1">
      <c r="A76" s="95"/>
      <c r="B76" s="95"/>
      <c r="C76" s="95"/>
      <c r="D76" s="463"/>
      <c r="E76" s="95"/>
      <c r="F76" s="95"/>
      <c r="G76" s="95"/>
      <c r="H76" s="95"/>
      <c r="I76" s="95"/>
      <c r="J76" s="95"/>
    </row>
    <row r="77" spans="1:10" ht="12.75" hidden="1" customHeight="1">
      <c r="A77" s="95"/>
      <c r="B77" s="95"/>
      <c r="C77" s="95"/>
      <c r="D77" s="463"/>
      <c r="E77" s="95"/>
      <c r="F77" s="95"/>
      <c r="G77" s="95"/>
      <c r="H77" s="95"/>
      <c r="I77" s="95"/>
      <c r="J77" s="95"/>
    </row>
    <row r="78" spans="1:10" ht="12.75" hidden="1" customHeight="1">
      <c r="A78" s="95"/>
      <c r="B78" s="95"/>
      <c r="C78" s="95"/>
      <c r="D78" s="463"/>
      <c r="E78" s="95"/>
      <c r="F78" s="95"/>
      <c r="G78" s="95"/>
      <c r="H78" s="95"/>
      <c r="I78" s="95"/>
      <c r="J78" s="95"/>
    </row>
    <row r="79" spans="1:10" ht="13.5" hidden="1">
      <c r="A79" s="95"/>
      <c r="B79" s="95"/>
      <c r="C79" s="95"/>
      <c r="D79" s="463"/>
      <c r="E79" s="95"/>
      <c r="F79" s="95"/>
      <c r="G79" s="95"/>
      <c r="H79" s="95"/>
      <c r="I79" s="95"/>
      <c r="J79" s="95"/>
    </row>
    <row r="80" spans="1:10" ht="13.5" hidden="1">
      <c r="A80" s="95"/>
      <c r="B80" s="95"/>
      <c r="C80" s="95"/>
      <c r="D80" s="463"/>
      <c r="E80" s="95"/>
      <c r="F80" s="95"/>
      <c r="G80" s="95"/>
      <c r="H80" s="95"/>
      <c r="I80" s="95"/>
      <c r="J80" s="95"/>
    </row>
    <row r="81" spans="1:10" ht="13.5" hidden="1">
      <c r="A81" s="95"/>
      <c r="B81" s="95"/>
      <c r="C81" s="95"/>
      <c r="D81" s="463"/>
      <c r="E81" s="95"/>
      <c r="F81" s="95"/>
      <c r="G81" s="95"/>
      <c r="H81" s="95"/>
      <c r="I81" s="95"/>
      <c r="J81" s="95"/>
    </row>
    <row r="82" spans="1:10" ht="13.5" hidden="1">
      <c r="A82" s="95"/>
      <c r="B82" s="95"/>
      <c r="C82" s="95"/>
      <c r="D82" s="463"/>
      <c r="E82" s="95"/>
      <c r="F82" s="95"/>
      <c r="G82" s="95"/>
      <c r="H82" s="95"/>
      <c r="I82" s="95"/>
      <c r="J82" s="95"/>
    </row>
    <row r="83" spans="1:10" ht="13.5">
      <c r="A83" s="95"/>
      <c r="B83" s="95"/>
      <c r="C83" s="95"/>
      <c r="D83" s="463"/>
      <c r="E83" s="95"/>
      <c r="F83" s="95"/>
      <c r="G83" s="95"/>
      <c r="H83" s="95"/>
      <c r="I83" s="95"/>
      <c r="J83" s="95"/>
    </row>
    <row r="84" spans="1:10" ht="13.5">
      <c r="A84" s="95"/>
      <c r="B84" s="95"/>
      <c r="C84" s="95"/>
      <c r="D84" s="463"/>
      <c r="E84" s="95"/>
      <c r="F84" s="95"/>
      <c r="G84" s="95"/>
      <c r="H84" s="95"/>
      <c r="I84" s="95"/>
      <c r="J84" s="95"/>
    </row>
    <row r="85" spans="1:10" ht="13.5">
      <c r="A85" s="95"/>
      <c r="B85" s="95"/>
      <c r="C85" s="95"/>
      <c r="D85" s="463"/>
      <c r="E85" s="95"/>
      <c r="F85" s="95"/>
      <c r="G85" s="95"/>
      <c r="H85" s="95"/>
      <c r="I85" s="95"/>
      <c r="J85" s="95"/>
    </row>
    <row r="86" spans="1:10" ht="13.5">
      <c r="A86" s="95"/>
      <c r="B86" s="95"/>
      <c r="C86" s="95"/>
      <c r="D86" s="463"/>
      <c r="E86" s="95"/>
      <c r="F86" s="95"/>
      <c r="G86" s="95"/>
      <c r="H86" s="95"/>
      <c r="I86" s="95"/>
      <c r="J86" s="95"/>
    </row>
    <row r="87" spans="1:10" ht="13.5">
      <c r="A87" s="95"/>
      <c r="B87" s="95"/>
      <c r="C87" s="95"/>
      <c r="D87" s="463"/>
      <c r="E87" s="95"/>
      <c r="F87" s="95"/>
      <c r="G87" s="95"/>
      <c r="H87" s="95"/>
      <c r="I87" s="95"/>
      <c r="J87" s="95"/>
    </row>
    <row r="88" spans="1:10" ht="13.5">
      <c r="A88" s="95"/>
      <c r="B88" s="95"/>
      <c r="C88" s="95"/>
      <c r="D88" s="463"/>
      <c r="E88" s="95"/>
      <c r="F88" s="95"/>
      <c r="G88" s="95"/>
      <c r="H88" s="95"/>
      <c r="I88" s="95"/>
      <c r="J88" s="95"/>
    </row>
    <row r="89" spans="1:10" ht="13.5">
      <c r="A89" s="95"/>
      <c r="B89" s="95"/>
      <c r="C89" s="95"/>
      <c r="D89" s="463"/>
      <c r="E89" s="95"/>
      <c r="F89" s="95"/>
      <c r="G89" s="95"/>
      <c r="H89" s="95"/>
      <c r="I89" s="95"/>
      <c r="J89" s="95"/>
    </row>
    <row r="90" spans="1:10" ht="13.5">
      <c r="A90" s="95"/>
      <c r="B90" s="95"/>
      <c r="C90" s="95"/>
      <c r="D90" s="463"/>
      <c r="E90" s="95"/>
      <c r="F90" s="95"/>
      <c r="G90" s="95"/>
      <c r="H90" s="95"/>
      <c r="I90" s="95"/>
      <c r="J90" s="95"/>
    </row>
    <row r="91" spans="1:10" ht="13.5">
      <c r="A91" s="95"/>
      <c r="B91" s="95"/>
      <c r="C91" s="95"/>
      <c r="D91" s="463"/>
      <c r="E91" s="95"/>
      <c r="F91" s="95"/>
      <c r="G91" s="95"/>
      <c r="H91" s="95"/>
      <c r="I91" s="95"/>
      <c r="J91" s="95"/>
    </row>
    <row r="92" spans="1:10" ht="13.5">
      <c r="A92" s="95"/>
      <c r="B92" s="95"/>
      <c r="C92" s="95"/>
      <c r="D92" s="463"/>
      <c r="E92" s="95"/>
      <c r="F92" s="95"/>
      <c r="G92" s="95"/>
      <c r="H92" s="95"/>
      <c r="I92" s="95"/>
      <c r="J92" s="95"/>
    </row>
    <row r="93" spans="1:10" ht="13.5" hidden="1">
      <c r="A93" s="95"/>
      <c r="B93" s="95"/>
      <c r="C93" s="95"/>
      <c r="D93" s="463"/>
      <c r="E93" s="95"/>
      <c r="F93" s="95"/>
      <c r="G93" s="95"/>
      <c r="H93" s="95"/>
      <c r="I93" s="95"/>
    </row>
    <row r="94" spans="1:10" ht="13.5">
      <c r="D94" s="463"/>
    </row>
    <row r="95" spans="1:10"/>
    <row r="96" spans="1:10"/>
    <row r="104"/>
    <row r="105"/>
    <row r="106"/>
    <row r="107"/>
    <row r="108"/>
    <row r="109"/>
    <row r="110"/>
    <row r="111"/>
    <row r="112"/>
    <row r="113"/>
    <row r="114"/>
    <row r="115"/>
    <row r="116"/>
    <row r="117"/>
    <row r="118"/>
    <row r="119"/>
  </sheetData>
  <sheetProtection sheet="1" objects="1" scenarios="1" selectLockedCells="1"/>
  <mergeCells count="27">
    <mergeCell ref="G33:I33"/>
    <mergeCell ref="G34:I34"/>
    <mergeCell ref="G35:I35"/>
    <mergeCell ref="A39:D39"/>
    <mergeCell ref="A2:D2"/>
    <mergeCell ref="A7:A37"/>
    <mergeCell ref="B7:B23"/>
    <mergeCell ref="C15:C17"/>
    <mergeCell ref="C18:C21"/>
    <mergeCell ref="B37:D37"/>
    <mergeCell ref="B24:B29"/>
    <mergeCell ref="B30:B36"/>
    <mergeCell ref="G2:I2"/>
    <mergeCell ref="A3:A6"/>
    <mergeCell ref="B3:D3"/>
    <mergeCell ref="G3:I3"/>
    <mergeCell ref="G32:I32"/>
    <mergeCell ref="G30:I30"/>
    <mergeCell ref="G24:I24"/>
    <mergeCell ref="B4:D4"/>
    <mergeCell ref="G4:I4"/>
    <mergeCell ref="B6:D6"/>
    <mergeCell ref="G6:I6"/>
    <mergeCell ref="G31:I31"/>
    <mergeCell ref="B5:D5"/>
    <mergeCell ref="G5:I5"/>
    <mergeCell ref="G22:I22"/>
  </mergeCells>
  <phoneticPr fontId="14"/>
  <printOptions horizontalCentered="1"/>
  <pageMargins left="0.82677165354330717" right="0.82677165354330717" top="1.3385826771653544" bottom="0.74803149606299213" header="0.9055118110236221" footer="0.31496062992125984"/>
  <pageSetup paperSize="9" scale="76" firstPageNumber="0" orientation="portrait" cellComments="asDisplayed" horizontalDpi="4294967293" verticalDpi="300" r:id="rId1"/>
  <headerFooter alignWithMargins="0">
    <oddHeader>&amp;L夏秋トマト（低段密植年２作）（中間～山間地域）</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38"/>
  <sheetViews>
    <sheetView showGridLines="0" workbookViewId="0">
      <selection activeCell="G5" sqref="G5:G10"/>
    </sheetView>
  </sheetViews>
  <sheetFormatPr defaultColWidth="10.5" defaultRowHeight="13.5"/>
  <cols>
    <col min="1" max="1" width="16.25" customWidth="1"/>
  </cols>
  <sheetData>
    <row r="1" spans="1:26" s="12" customFormat="1">
      <c r="B1" s="13"/>
      <c r="C1" s="14" t="s">
        <v>112</v>
      </c>
      <c r="D1" s="14" t="s">
        <v>98</v>
      </c>
      <c r="E1" s="14" t="s">
        <v>95</v>
      </c>
      <c r="F1" s="14" t="s">
        <v>101</v>
      </c>
      <c r="G1" s="14" t="s">
        <v>152</v>
      </c>
      <c r="H1" s="14" t="s">
        <v>115</v>
      </c>
      <c r="I1" s="14" t="s">
        <v>153</v>
      </c>
      <c r="J1" s="14" t="s">
        <v>121</v>
      </c>
      <c r="K1" s="14" t="s">
        <v>118</v>
      </c>
      <c r="L1" s="14" t="s">
        <v>127</v>
      </c>
      <c r="M1" s="14" t="s">
        <v>125</v>
      </c>
      <c r="N1" s="14" t="s">
        <v>108</v>
      </c>
      <c r="P1" s="15" t="s">
        <v>199</v>
      </c>
      <c r="Q1" s="15" t="s">
        <v>80</v>
      </c>
      <c r="S1" s="15" t="s">
        <v>200</v>
      </c>
      <c r="U1" s="15" t="s">
        <v>163</v>
      </c>
      <c r="W1" s="15" t="s">
        <v>262</v>
      </c>
      <c r="Y1" s="576" t="s">
        <v>494</v>
      </c>
      <c r="Z1" s="576" t="s">
        <v>495</v>
      </c>
    </row>
    <row r="2" spans="1:26">
      <c r="A2" s="428" t="s">
        <v>112</v>
      </c>
      <c r="B2" s="429">
        <v>1</v>
      </c>
      <c r="C2" s="430" t="s">
        <v>113</v>
      </c>
      <c r="D2" s="430" t="s">
        <v>99</v>
      </c>
      <c r="E2" s="430" t="s">
        <v>169</v>
      </c>
      <c r="F2" s="430" t="s">
        <v>104</v>
      </c>
      <c r="G2" s="430" t="s">
        <v>71</v>
      </c>
      <c r="H2" s="430" t="s">
        <v>182</v>
      </c>
      <c r="I2" s="430" t="s">
        <v>186</v>
      </c>
      <c r="J2" s="430" t="s">
        <v>189</v>
      </c>
      <c r="K2" s="430" t="s">
        <v>119</v>
      </c>
      <c r="L2" s="430" t="s">
        <v>254</v>
      </c>
      <c r="M2" s="430" t="s">
        <v>156</v>
      </c>
      <c r="N2" s="430" t="s">
        <v>160</v>
      </c>
      <c r="P2" s="16" t="s">
        <v>201</v>
      </c>
      <c r="Q2" s="16" t="s">
        <v>114</v>
      </c>
      <c r="S2" t="s">
        <v>71</v>
      </c>
      <c r="U2" t="s">
        <v>193</v>
      </c>
      <c r="W2" s="19" t="s">
        <v>263</v>
      </c>
      <c r="Y2" t="s">
        <v>496</v>
      </c>
      <c r="Z2" t="s">
        <v>497</v>
      </c>
    </row>
    <row r="3" spans="1:26">
      <c r="A3" s="429" t="s">
        <v>98</v>
      </c>
      <c r="B3" s="429">
        <v>2</v>
      </c>
      <c r="C3" s="430" t="s">
        <v>164</v>
      </c>
      <c r="D3" s="430" t="s">
        <v>166</v>
      </c>
      <c r="E3" s="430" t="s">
        <v>96</v>
      </c>
      <c r="F3" s="430" t="s">
        <v>106</v>
      </c>
      <c r="G3" s="430" t="s">
        <v>69</v>
      </c>
      <c r="H3" s="430" t="s">
        <v>183</v>
      </c>
      <c r="I3" s="430" t="s">
        <v>187</v>
      </c>
      <c r="J3" s="430" t="s">
        <v>122</v>
      </c>
      <c r="K3" s="430" t="s">
        <v>190</v>
      </c>
      <c r="L3" s="430" t="s">
        <v>255</v>
      </c>
      <c r="M3" s="430" t="s">
        <v>126</v>
      </c>
      <c r="N3" s="430" t="s">
        <v>123</v>
      </c>
      <c r="P3" s="16" t="s">
        <v>202</v>
      </c>
      <c r="Q3" s="16" t="s">
        <v>203</v>
      </c>
      <c r="S3" t="s">
        <v>69</v>
      </c>
      <c r="U3" t="s">
        <v>168</v>
      </c>
      <c r="W3" s="19" t="s">
        <v>264</v>
      </c>
      <c r="Y3" t="s">
        <v>498</v>
      </c>
      <c r="Z3" t="s">
        <v>499</v>
      </c>
    </row>
    <row r="4" spans="1:26">
      <c r="A4" s="429" t="s">
        <v>95</v>
      </c>
      <c r="B4" s="429">
        <v>3</v>
      </c>
      <c r="C4" s="430" t="s">
        <v>165</v>
      </c>
      <c r="D4" s="430" t="s">
        <v>167</v>
      </c>
      <c r="E4" s="430" t="s">
        <v>97</v>
      </c>
      <c r="F4" s="430" t="s">
        <v>173</v>
      </c>
      <c r="G4" s="430" t="s">
        <v>176</v>
      </c>
      <c r="H4" s="430" t="s">
        <v>184</v>
      </c>
      <c r="I4" s="430" t="s">
        <v>188</v>
      </c>
      <c r="J4" s="430"/>
      <c r="K4" s="430" t="s">
        <v>191</v>
      </c>
      <c r="L4" s="430"/>
      <c r="M4" s="430" t="s">
        <v>157</v>
      </c>
      <c r="N4" s="431" t="s">
        <v>109</v>
      </c>
      <c r="P4" s="16" t="s">
        <v>204</v>
      </c>
      <c r="Q4" s="16" t="s">
        <v>105</v>
      </c>
      <c r="S4" t="s">
        <v>179</v>
      </c>
      <c r="U4" t="s">
        <v>205</v>
      </c>
      <c r="W4" s="19" t="s">
        <v>265</v>
      </c>
      <c r="Y4" t="s">
        <v>500</v>
      </c>
      <c r="Z4" t="s">
        <v>501</v>
      </c>
    </row>
    <row r="5" spans="1:26">
      <c r="A5" s="429" t="s">
        <v>101</v>
      </c>
      <c r="B5" s="429">
        <v>4</v>
      </c>
      <c r="C5" s="430"/>
      <c r="D5" s="430"/>
      <c r="E5" s="430" t="s">
        <v>170</v>
      </c>
      <c r="F5" s="430" t="s">
        <v>174</v>
      </c>
      <c r="G5" s="430" t="s">
        <v>177</v>
      </c>
      <c r="H5" s="430" t="s">
        <v>185</v>
      </c>
      <c r="I5" s="430"/>
      <c r="J5" s="430"/>
      <c r="K5" s="430" t="s">
        <v>192</v>
      </c>
      <c r="L5" s="430"/>
      <c r="M5" s="430" t="s">
        <v>158</v>
      </c>
      <c r="N5" s="430" t="s">
        <v>195</v>
      </c>
      <c r="P5" s="16" t="s">
        <v>206</v>
      </c>
      <c r="Q5" s="16" t="s">
        <v>103</v>
      </c>
      <c r="S5" t="s">
        <v>176</v>
      </c>
      <c r="W5" s="19" t="s">
        <v>266</v>
      </c>
    </row>
    <row r="6" spans="1:26">
      <c r="A6" s="429" t="s">
        <v>115</v>
      </c>
      <c r="B6" s="429">
        <v>5</v>
      </c>
      <c r="C6" s="430"/>
      <c r="D6" s="430"/>
      <c r="E6" s="430" t="s">
        <v>171</v>
      </c>
      <c r="F6" s="430" t="s">
        <v>102</v>
      </c>
      <c r="G6" s="430" t="s">
        <v>181</v>
      </c>
      <c r="H6" s="430" t="s">
        <v>116</v>
      </c>
      <c r="I6" s="430"/>
      <c r="J6" s="430"/>
      <c r="K6" s="430"/>
      <c r="L6" s="430"/>
      <c r="M6" s="430" t="s">
        <v>194</v>
      </c>
      <c r="N6" s="430" t="s">
        <v>124</v>
      </c>
      <c r="P6" s="16" t="s">
        <v>207</v>
      </c>
      <c r="Q6" s="16" t="s">
        <v>208</v>
      </c>
      <c r="S6" t="s">
        <v>177</v>
      </c>
      <c r="W6" s="19" t="s">
        <v>267</v>
      </c>
    </row>
    <row r="7" spans="1:26">
      <c r="A7" s="429" t="s">
        <v>209</v>
      </c>
      <c r="B7" s="429">
        <v>6</v>
      </c>
      <c r="C7" s="430"/>
      <c r="D7" s="430"/>
      <c r="E7" s="430" t="s">
        <v>172</v>
      </c>
      <c r="F7" s="430" t="s">
        <v>175</v>
      </c>
      <c r="G7" s="430" t="s">
        <v>322</v>
      </c>
      <c r="H7" s="432" t="s">
        <v>283</v>
      </c>
      <c r="I7" s="430"/>
      <c r="J7" s="430"/>
      <c r="K7" s="430"/>
      <c r="L7" s="430"/>
      <c r="M7" s="430"/>
      <c r="N7" s="430" t="s">
        <v>196</v>
      </c>
      <c r="P7" s="16" t="s">
        <v>210</v>
      </c>
      <c r="Q7" s="16" t="s">
        <v>211</v>
      </c>
      <c r="S7" t="s">
        <v>178</v>
      </c>
      <c r="W7" s="19" t="s">
        <v>268</v>
      </c>
    </row>
    <row r="8" spans="1:26">
      <c r="A8" s="429" t="s">
        <v>153</v>
      </c>
      <c r="B8" s="429">
        <v>7</v>
      </c>
      <c r="C8" s="430"/>
      <c r="D8" s="430"/>
      <c r="E8" s="430"/>
      <c r="F8" s="430"/>
      <c r="G8" s="430" t="s">
        <v>599</v>
      </c>
      <c r="H8" s="432" t="s">
        <v>282</v>
      </c>
      <c r="I8" s="430"/>
      <c r="J8" s="430"/>
      <c r="K8" s="430"/>
      <c r="L8" s="430"/>
      <c r="M8" s="430"/>
      <c r="N8" s="430" t="s">
        <v>197</v>
      </c>
      <c r="P8" s="16" t="s">
        <v>212</v>
      </c>
      <c r="Q8" s="16" t="s">
        <v>213</v>
      </c>
      <c r="S8" t="s">
        <v>180</v>
      </c>
      <c r="W8" s="19" t="s">
        <v>269</v>
      </c>
    </row>
    <row r="9" spans="1:26">
      <c r="A9" s="429" t="s">
        <v>127</v>
      </c>
      <c r="B9" s="429">
        <v>8</v>
      </c>
      <c r="C9" s="430"/>
      <c r="D9" s="430"/>
      <c r="E9" s="430"/>
      <c r="F9" s="430"/>
      <c r="G9" s="430" t="s">
        <v>600</v>
      </c>
      <c r="H9" s="432" t="s">
        <v>284</v>
      </c>
      <c r="I9" s="430"/>
      <c r="J9" s="430"/>
      <c r="K9" s="430"/>
      <c r="L9" s="430"/>
      <c r="M9" s="430"/>
      <c r="N9" s="430" t="s">
        <v>111</v>
      </c>
      <c r="P9" s="16" t="s">
        <v>214</v>
      </c>
      <c r="Q9" s="16" t="s">
        <v>215</v>
      </c>
      <c r="W9" s="19" t="s">
        <v>271</v>
      </c>
    </row>
    <row r="10" spans="1:26">
      <c r="A10" s="429" t="s">
        <v>118</v>
      </c>
      <c r="B10" s="429">
        <v>9</v>
      </c>
      <c r="C10" s="430"/>
      <c r="D10" s="430"/>
      <c r="E10" s="430"/>
      <c r="F10" s="430"/>
      <c r="G10" s="430" t="s">
        <v>601</v>
      </c>
      <c r="H10" s="432" t="s">
        <v>285</v>
      </c>
      <c r="I10" s="430"/>
      <c r="J10" s="430"/>
      <c r="K10" s="430"/>
      <c r="L10" s="430"/>
      <c r="M10" s="430"/>
      <c r="N10" s="430" t="s">
        <v>198</v>
      </c>
      <c r="P10" s="16" t="s">
        <v>216</v>
      </c>
      <c r="Q10" s="16" t="s">
        <v>217</v>
      </c>
      <c r="W10" s="19" t="s">
        <v>276</v>
      </c>
    </row>
    <row r="11" spans="1:26">
      <c r="A11" s="429" t="s">
        <v>121</v>
      </c>
      <c r="B11" s="429">
        <v>10</v>
      </c>
      <c r="C11" s="430"/>
      <c r="D11" s="430"/>
      <c r="E11" s="430"/>
      <c r="F11" s="430"/>
      <c r="G11" s="430"/>
      <c r="H11" s="432" t="s">
        <v>286</v>
      </c>
      <c r="I11" s="430"/>
      <c r="J11" s="430"/>
      <c r="K11" s="430"/>
      <c r="L11" s="430"/>
      <c r="M11" s="430"/>
      <c r="N11" s="430"/>
      <c r="P11" s="16" t="s">
        <v>218</v>
      </c>
      <c r="Q11" s="16" t="s">
        <v>219</v>
      </c>
      <c r="W11" s="19" t="s">
        <v>275</v>
      </c>
    </row>
    <row r="12" spans="1:26">
      <c r="A12" s="429" t="s">
        <v>220</v>
      </c>
      <c r="B12" s="429">
        <v>11</v>
      </c>
      <c r="C12" s="430"/>
      <c r="D12" s="430"/>
      <c r="E12" s="430"/>
      <c r="F12" s="430"/>
      <c r="G12" s="430"/>
      <c r="H12" s="430"/>
      <c r="I12" s="430"/>
      <c r="J12" s="430"/>
      <c r="K12" s="430"/>
      <c r="L12" s="430"/>
      <c r="M12" s="430"/>
      <c r="N12" s="430"/>
      <c r="P12" s="16" t="s">
        <v>221</v>
      </c>
      <c r="Q12" s="16" t="s">
        <v>117</v>
      </c>
      <c r="W12" s="19" t="s">
        <v>274</v>
      </c>
    </row>
    <row r="13" spans="1:26">
      <c r="A13" s="429" t="s">
        <v>109</v>
      </c>
      <c r="B13" s="429">
        <v>12</v>
      </c>
      <c r="C13" s="430"/>
      <c r="D13" s="430"/>
      <c r="E13" s="430"/>
      <c r="F13" s="430"/>
      <c r="G13" s="430"/>
      <c r="H13" s="430"/>
      <c r="I13" s="430"/>
      <c r="J13" s="430"/>
      <c r="K13" s="430"/>
      <c r="L13" s="430"/>
      <c r="M13" s="430"/>
      <c r="N13" s="430"/>
      <c r="P13" s="16" t="s">
        <v>222</v>
      </c>
      <c r="Q13" s="16" t="s">
        <v>223</v>
      </c>
      <c r="W13" s="19" t="s">
        <v>273</v>
      </c>
    </row>
    <row r="14" spans="1:26">
      <c r="A14" s="429" t="s">
        <v>224</v>
      </c>
      <c r="B14" s="429">
        <v>13</v>
      </c>
      <c r="C14" s="430"/>
      <c r="D14" s="430"/>
      <c r="E14" s="430"/>
      <c r="F14" s="430"/>
      <c r="G14" s="430"/>
      <c r="H14" s="430"/>
      <c r="I14" s="430"/>
      <c r="J14" s="430"/>
      <c r="K14" s="430"/>
      <c r="L14" s="430"/>
      <c r="M14" s="430"/>
      <c r="N14" s="430"/>
      <c r="P14" s="16" t="s">
        <v>225</v>
      </c>
      <c r="Q14" s="16" t="s">
        <v>100</v>
      </c>
      <c r="W14" s="19" t="s">
        <v>272</v>
      </c>
    </row>
    <row r="15" spans="1:26">
      <c r="A15" s="429" t="s">
        <v>226</v>
      </c>
      <c r="B15" s="429">
        <v>14</v>
      </c>
      <c r="C15" s="430"/>
      <c r="D15" s="430"/>
      <c r="E15" s="430"/>
      <c r="F15" s="430"/>
      <c r="G15" s="430"/>
      <c r="H15" s="430"/>
      <c r="I15" s="430"/>
      <c r="J15" s="430"/>
      <c r="K15" s="430"/>
      <c r="L15" s="430"/>
      <c r="M15" s="430"/>
      <c r="N15" s="430"/>
      <c r="P15" s="16" t="s">
        <v>227</v>
      </c>
      <c r="Q15" s="16" t="s">
        <v>228</v>
      </c>
      <c r="W15" s="19" t="s">
        <v>270</v>
      </c>
    </row>
    <row r="16" spans="1:26">
      <c r="A16" s="430"/>
      <c r="B16" s="430"/>
      <c r="C16" s="430"/>
      <c r="D16" s="430"/>
      <c r="E16" s="430"/>
      <c r="F16" s="430"/>
      <c r="G16" s="430"/>
      <c r="H16" s="430"/>
      <c r="I16" s="430"/>
      <c r="J16" s="430"/>
      <c r="K16" s="430"/>
      <c r="L16" s="430"/>
      <c r="M16" s="430"/>
      <c r="N16" s="430"/>
      <c r="P16" s="16" t="s">
        <v>229</v>
      </c>
      <c r="Q16" s="16" t="s">
        <v>230</v>
      </c>
    </row>
    <row r="17" spans="1:17">
      <c r="A17" s="430"/>
      <c r="B17" s="430"/>
      <c r="C17" s="430"/>
      <c r="D17" s="430"/>
      <c r="E17" s="430"/>
      <c r="F17" s="430"/>
      <c r="G17" s="430"/>
      <c r="H17" s="430"/>
      <c r="I17" s="430"/>
      <c r="J17" s="430"/>
      <c r="K17" s="430"/>
      <c r="L17" s="430"/>
      <c r="M17" s="430"/>
      <c r="N17" s="430"/>
      <c r="P17" s="16" t="s">
        <v>231</v>
      </c>
      <c r="Q17" s="16" t="s">
        <v>232</v>
      </c>
    </row>
    <row r="18" spans="1:17">
      <c r="A18" s="430"/>
      <c r="B18" s="430"/>
      <c r="C18" s="430"/>
      <c r="D18" s="430"/>
      <c r="E18" s="430"/>
      <c r="F18" s="430"/>
      <c r="G18" s="430"/>
      <c r="H18" s="430"/>
      <c r="I18" s="430"/>
      <c r="J18" s="430"/>
      <c r="K18" s="430"/>
      <c r="L18" s="430"/>
      <c r="M18" s="430"/>
      <c r="N18" s="430"/>
      <c r="P18" s="16" t="s">
        <v>233</v>
      </c>
      <c r="Q18" s="16" t="s">
        <v>234</v>
      </c>
    </row>
    <row r="19" spans="1:17">
      <c r="A19" s="430"/>
      <c r="B19" s="430"/>
      <c r="C19" s="430"/>
      <c r="D19" s="430"/>
      <c r="E19" s="430"/>
      <c r="F19" s="430"/>
      <c r="G19" s="430"/>
      <c r="H19" s="430"/>
      <c r="I19" s="430"/>
      <c r="J19" s="430"/>
      <c r="K19" s="430"/>
      <c r="L19" s="430"/>
      <c r="M19" s="430"/>
      <c r="N19" s="430"/>
      <c r="P19" s="16" t="s">
        <v>235</v>
      </c>
      <c r="Q19" s="16" t="s">
        <v>162</v>
      </c>
    </row>
    <row r="20" spans="1:17">
      <c r="A20" s="430"/>
      <c r="B20" s="430"/>
      <c r="C20" s="430"/>
      <c r="D20" s="430"/>
      <c r="E20" s="430"/>
      <c r="F20" s="430"/>
      <c r="G20" s="430"/>
      <c r="H20" s="430"/>
      <c r="I20" s="430"/>
      <c r="J20" s="430"/>
      <c r="K20" s="430"/>
      <c r="L20" s="430"/>
      <c r="M20" s="430"/>
      <c r="N20" s="430"/>
      <c r="P20" s="16" t="s">
        <v>236</v>
      </c>
      <c r="Q20" s="16" t="s">
        <v>237</v>
      </c>
    </row>
    <row r="21" spans="1:17">
      <c r="A21" s="430"/>
      <c r="B21" s="430"/>
      <c r="C21" s="430"/>
      <c r="D21" s="430"/>
      <c r="E21" s="430"/>
      <c r="F21" s="430"/>
      <c r="G21" s="430"/>
      <c r="H21" s="430"/>
      <c r="I21" s="430"/>
      <c r="J21" s="430"/>
      <c r="K21" s="430"/>
      <c r="L21" s="430"/>
      <c r="M21" s="430"/>
      <c r="N21" s="430"/>
      <c r="P21" s="16" t="s">
        <v>238</v>
      </c>
      <c r="Q21" s="17" t="s">
        <v>128</v>
      </c>
    </row>
    <row r="22" spans="1:17">
      <c r="A22" s="430"/>
      <c r="B22" s="430"/>
      <c r="C22" s="430"/>
      <c r="D22" s="430"/>
      <c r="E22" s="430"/>
      <c r="F22" s="430"/>
      <c r="G22" s="430"/>
      <c r="H22" s="430"/>
      <c r="I22" s="430"/>
      <c r="J22" s="430"/>
      <c r="K22" s="430"/>
      <c r="L22" s="430"/>
      <c r="M22" s="430"/>
      <c r="N22" s="430"/>
      <c r="P22" s="16" t="s">
        <v>239</v>
      </c>
      <c r="Q22" s="18" t="s">
        <v>120</v>
      </c>
    </row>
    <row r="23" spans="1:17">
      <c r="A23" s="430"/>
      <c r="B23" s="430"/>
      <c r="C23" s="430"/>
      <c r="D23" s="430"/>
      <c r="E23" s="430"/>
      <c r="F23" s="430"/>
      <c r="G23" s="430"/>
      <c r="H23" s="430"/>
      <c r="I23" s="430"/>
      <c r="J23" s="430"/>
      <c r="K23" s="430"/>
      <c r="L23" s="430"/>
      <c r="M23" s="430"/>
      <c r="N23" s="430"/>
      <c r="P23" s="16" t="s">
        <v>68</v>
      </c>
      <c r="Q23" s="17" t="s">
        <v>110</v>
      </c>
    </row>
    <row r="24" spans="1:17">
      <c r="A24" s="430"/>
      <c r="B24" s="430"/>
      <c r="C24" s="430"/>
      <c r="D24" s="430"/>
      <c r="E24" s="430"/>
      <c r="F24" s="430"/>
      <c r="G24" s="430"/>
      <c r="H24" s="430"/>
      <c r="I24" s="430"/>
      <c r="J24" s="430"/>
      <c r="K24" s="430"/>
      <c r="L24" s="430"/>
      <c r="M24" s="430"/>
      <c r="N24" s="430"/>
      <c r="P24" s="16" t="s">
        <v>240</v>
      </c>
      <c r="Q24" s="18" t="s">
        <v>241</v>
      </c>
    </row>
    <row r="25" spans="1:17">
      <c r="A25" s="430"/>
      <c r="B25" s="430"/>
      <c r="C25" s="430"/>
      <c r="D25" s="430"/>
      <c r="E25" s="430"/>
      <c r="F25" s="430"/>
      <c r="G25" s="430"/>
      <c r="H25" s="430"/>
      <c r="I25" s="430"/>
      <c r="J25" s="430"/>
      <c r="K25" s="430"/>
      <c r="L25" s="430"/>
      <c r="M25" s="430"/>
      <c r="N25" s="430"/>
      <c r="P25" s="16" t="s">
        <v>70</v>
      </c>
      <c r="Q25" s="18" t="s">
        <v>242</v>
      </c>
    </row>
    <row r="26" spans="1:17">
      <c r="P26" s="16" t="s">
        <v>243</v>
      </c>
      <c r="Q26" s="18" t="s">
        <v>244</v>
      </c>
    </row>
    <row r="27" spans="1:17">
      <c r="P27" s="16" t="s">
        <v>245</v>
      </c>
      <c r="Q27" s="18" t="s">
        <v>244</v>
      </c>
    </row>
    <row r="28" spans="1:17">
      <c r="P28" s="16" t="s">
        <v>73</v>
      </c>
      <c r="Q28" s="18" t="s">
        <v>246</v>
      </c>
    </row>
    <row r="29" spans="1:17">
      <c r="P29" s="16" t="s">
        <v>247</v>
      </c>
      <c r="Q29" s="18" t="s">
        <v>248</v>
      </c>
    </row>
    <row r="30" spans="1:17">
      <c r="P30" s="16" t="s">
        <v>72</v>
      </c>
      <c r="Q30" s="18" t="s">
        <v>244</v>
      </c>
    </row>
    <row r="31" spans="1:17">
      <c r="P31" s="16" t="s">
        <v>249</v>
      </c>
      <c r="Q31" s="18" t="s">
        <v>244</v>
      </c>
    </row>
    <row r="32" spans="1:17">
      <c r="P32" s="16" t="s">
        <v>75</v>
      </c>
      <c r="Q32" s="513" t="s">
        <v>80</v>
      </c>
    </row>
    <row r="33" spans="16:17">
      <c r="P33" s="16" t="s">
        <v>250</v>
      </c>
      <c r="Q33" s="513" t="s">
        <v>485</v>
      </c>
    </row>
    <row r="34" spans="16:17">
      <c r="P34" s="16" t="s">
        <v>251</v>
      </c>
    </row>
    <row r="35" spans="16:17">
      <c r="P35" s="16" t="s">
        <v>74</v>
      </c>
    </row>
    <row r="36" spans="16:17">
      <c r="P36" s="16" t="s">
        <v>252</v>
      </c>
    </row>
    <row r="37" spans="16:17">
      <c r="P37" s="16" t="s">
        <v>253</v>
      </c>
    </row>
    <row r="38" spans="16:17">
      <c r="P38" s="16" t="s">
        <v>107</v>
      </c>
    </row>
  </sheetData>
  <phoneticPr fontId="14"/>
  <pageMargins left="0.74803149606299213" right="0.74803149606299213" top="0.98425196850393704" bottom="0.98425196850393704" header="0.51181102362204722" footer="0.51181102362204722"/>
  <pageSetup paperSize="9" scale="52" firstPageNumber="0" orientation="landscape" verticalDpi="300" r:id="rId1"/>
  <headerFooter alignWithMargins="0">
    <oddHeader>&amp;R&amp;"ＭＳ ゴシック,標準"&amp;14生産技術体系作成様式　様式②－10（科目設定）</oddHeader>
    <oddFooter>&amp;C&amp;14 12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C000"/>
    <pageSetUpPr fitToPage="1"/>
  </sheetPr>
  <dimension ref="B1:AR39"/>
  <sheetViews>
    <sheetView showGridLines="0" zoomScale="130" zoomScaleNormal="130" zoomScaleSheetLayoutView="100" workbookViewId="0">
      <pane xSplit="3" ySplit="8" topLeftCell="N9" activePane="bottomRight" state="frozen"/>
      <selection pane="topRight" activeCell="D1" sqref="D1"/>
      <selection pane="bottomLeft" activeCell="A9" sqref="A9"/>
      <selection pane="bottomRight" activeCell="O11" sqref="O11"/>
    </sheetView>
  </sheetViews>
  <sheetFormatPr defaultRowHeight="12"/>
  <cols>
    <col min="1" max="1" width="2.625" style="11" customWidth="1"/>
    <col min="2" max="2" width="5.875" style="11" customWidth="1"/>
    <col min="3" max="3" width="18.5" style="11" customWidth="1"/>
    <col min="4" max="39" width="6.25" style="11" customWidth="1"/>
    <col min="40" max="40" width="9.125" style="11" bestFit="1" customWidth="1"/>
    <col min="41" max="41" width="4.75" style="11" customWidth="1"/>
    <col min="42" max="16384" width="9" style="11"/>
  </cols>
  <sheetData>
    <row r="1" spans="2:44" ht="17.25" customHeight="1">
      <c r="B1" s="402" t="s">
        <v>129</v>
      </c>
      <c r="C1" s="403"/>
      <c r="N1" s="32"/>
      <c r="O1" s="32"/>
      <c r="Z1" s="32"/>
      <c r="AA1" s="32"/>
      <c r="AL1" s="32"/>
      <c r="AM1" s="32" t="s">
        <v>130</v>
      </c>
    </row>
    <row r="2" spans="2:44">
      <c r="B2" s="798" t="s">
        <v>131</v>
      </c>
      <c r="C2" s="798"/>
      <c r="D2" s="799">
        <v>1</v>
      </c>
      <c r="E2" s="799"/>
      <c r="F2" s="799"/>
      <c r="G2" s="793">
        <v>2</v>
      </c>
      <c r="H2" s="793"/>
      <c r="I2" s="793"/>
      <c r="J2" s="793">
        <v>3</v>
      </c>
      <c r="K2" s="793"/>
      <c r="L2" s="793"/>
      <c r="M2" s="793">
        <v>4</v>
      </c>
      <c r="N2" s="793"/>
      <c r="O2" s="793"/>
      <c r="P2" s="793">
        <v>5</v>
      </c>
      <c r="Q2" s="793"/>
      <c r="R2" s="793"/>
      <c r="S2" s="793">
        <v>6</v>
      </c>
      <c r="T2" s="793"/>
      <c r="U2" s="793"/>
      <c r="V2" s="793">
        <v>7</v>
      </c>
      <c r="W2" s="793"/>
      <c r="X2" s="793"/>
      <c r="Y2" s="793">
        <v>8</v>
      </c>
      <c r="Z2" s="793"/>
      <c r="AA2" s="793"/>
      <c r="AB2" s="793">
        <v>9</v>
      </c>
      <c r="AC2" s="793"/>
      <c r="AD2" s="793"/>
      <c r="AE2" s="793">
        <v>10</v>
      </c>
      <c r="AF2" s="793"/>
      <c r="AG2" s="793"/>
      <c r="AH2" s="793">
        <v>11</v>
      </c>
      <c r="AI2" s="793"/>
      <c r="AJ2" s="793"/>
      <c r="AK2" s="794">
        <v>12</v>
      </c>
      <c r="AL2" s="794"/>
      <c r="AM2" s="794"/>
      <c r="AN2" s="792" t="s">
        <v>132</v>
      </c>
    </row>
    <row r="3" spans="2:44">
      <c r="B3" s="798"/>
      <c r="C3" s="798"/>
      <c r="D3" s="33" t="s">
        <v>133</v>
      </c>
      <c r="E3" s="33" t="s">
        <v>134</v>
      </c>
      <c r="F3" s="33" t="s">
        <v>135</v>
      </c>
      <c r="G3" s="33" t="s">
        <v>133</v>
      </c>
      <c r="H3" s="33" t="s">
        <v>134</v>
      </c>
      <c r="I3" s="33" t="s">
        <v>135</v>
      </c>
      <c r="J3" s="33" t="s">
        <v>133</v>
      </c>
      <c r="K3" s="33" t="s">
        <v>134</v>
      </c>
      <c r="L3" s="33" t="s">
        <v>135</v>
      </c>
      <c r="M3" s="33" t="s">
        <v>133</v>
      </c>
      <c r="N3" s="33" t="s">
        <v>134</v>
      </c>
      <c r="O3" s="33" t="s">
        <v>135</v>
      </c>
      <c r="P3" s="34" t="s">
        <v>133</v>
      </c>
      <c r="Q3" s="33" t="s">
        <v>134</v>
      </c>
      <c r="R3" s="33" t="s">
        <v>135</v>
      </c>
      <c r="S3" s="33" t="s">
        <v>133</v>
      </c>
      <c r="T3" s="33" t="s">
        <v>134</v>
      </c>
      <c r="U3" s="33" t="s">
        <v>135</v>
      </c>
      <c r="V3" s="33" t="s">
        <v>133</v>
      </c>
      <c r="W3" s="33" t="s">
        <v>134</v>
      </c>
      <c r="X3" s="33" t="s">
        <v>135</v>
      </c>
      <c r="Y3" s="33" t="s">
        <v>133</v>
      </c>
      <c r="Z3" s="33" t="s">
        <v>134</v>
      </c>
      <c r="AA3" s="33" t="s">
        <v>135</v>
      </c>
      <c r="AB3" s="34" t="s">
        <v>133</v>
      </c>
      <c r="AC3" s="33" t="s">
        <v>134</v>
      </c>
      <c r="AD3" s="33" t="s">
        <v>135</v>
      </c>
      <c r="AE3" s="33" t="s">
        <v>133</v>
      </c>
      <c r="AF3" s="33" t="s">
        <v>134</v>
      </c>
      <c r="AG3" s="33" t="s">
        <v>135</v>
      </c>
      <c r="AH3" s="33" t="s">
        <v>133</v>
      </c>
      <c r="AI3" s="33" t="s">
        <v>134</v>
      </c>
      <c r="AJ3" s="33" t="s">
        <v>135</v>
      </c>
      <c r="AK3" s="33" t="s">
        <v>133</v>
      </c>
      <c r="AL3" s="33" t="s">
        <v>134</v>
      </c>
      <c r="AM3" s="35" t="s">
        <v>135</v>
      </c>
      <c r="AN3" s="792"/>
    </row>
    <row r="4" spans="2:44" ht="13.5">
      <c r="B4" s="800" t="s">
        <v>279</v>
      </c>
      <c r="C4" s="795" t="s">
        <v>280</v>
      </c>
      <c r="D4" s="36"/>
      <c r="E4" s="37"/>
      <c r="F4" s="37"/>
      <c r="G4" s="37"/>
      <c r="H4" s="37"/>
      <c r="I4" s="38"/>
      <c r="J4" s="38"/>
      <c r="K4" s="37"/>
      <c r="L4" s="37"/>
      <c r="M4" s="37"/>
      <c r="N4" s="37"/>
      <c r="O4" s="37"/>
      <c r="P4" s="36"/>
      <c r="Q4" s="37"/>
      <c r="R4" s="37"/>
      <c r="S4" s="37"/>
      <c r="T4" s="37"/>
      <c r="U4" s="38"/>
      <c r="V4" s="38"/>
      <c r="W4" s="37"/>
      <c r="X4" s="37"/>
      <c r="Y4" s="37"/>
      <c r="Z4" s="37"/>
      <c r="AA4" s="37"/>
      <c r="AB4" s="36"/>
      <c r="AC4" s="37"/>
      <c r="AD4" s="37"/>
      <c r="AE4" s="37"/>
      <c r="AF4" s="37"/>
      <c r="AG4" s="38"/>
      <c r="AH4" s="38"/>
      <c r="AI4" s="37"/>
      <c r="AJ4" s="37"/>
      <c r="AK4" s="37"/>
      <c r="AL4" s="37"/>
      <c r="AM4" s="37"/>
      <c r="AN4" s="39"/>
      <c r="AP4" s="10"/>
      <c r="AQ4" s="10"/>
      <c r="AR4" s="10"/>
    </row>
    <row r="5" spans="2:44" ht="12" customHeight="1">
      <c r="B5" s="801"/>
      <c r="C5" s="796"/>
      <c r="D5" s="36"/>
      <c r="E5" s="37"/>
      <c r="F5" s="37" t="s">
        <v>136</v>
      </c>
      <c r="G5" s="37" t="s">
        <v>137</v>
      </c>
      <c r="H5" s="37" t="s">
        <v>137</v>
      </c>
      <c r="I5" s="37" t="s">
        <v>137</v>
      </c>
      <c r="J5" s="37" t="s">
        <v>137</v>
      </c>
      <c r="K5" s="37" t="s">
        <v>137</v>
      </c>
      <c r="L5" s="37" t="s">
        <v>137</v>
      </c>
      <c r="M5" s="37" t="s">
        <v>137</v>
      </c>
      <c r="N5" s="37" t="s">
        <v>137</v>
      </c>
      <c r="O5" s="37" t="s">
        <v>140</v>
      </c>
      <c r="P5" s="37" t="s">
        <v>138</v>
      </c>
      <c r="Q5" s="37" t="s">
        <v>138</v>
      </c>
      <c r="R5" s="37" t="s">
        <v>138</v>
      </c>
      <c r="S5" s="37" t="s">
        <v>138</v>
      </c>
      <c r="T5" s="37" t="s">
        <v>139</v>
      </c>
      <c r="U5" s="37" t="s">
        <v>139</v>
      </c>
      <c r="V5" s="37" t="s">
        <v>139</v>
      </c>
      <c r="W5" s="37" t="s">
        <v>139</v>
      </c>
      <c r="X5" s="38" t="s">
        <v>602</v>
      </c>
      <c r="Y5" s="37"/>
      <c r="Z5" s="37"/>
      <c r="AA5" s="37"/>
      <c r="AB5" s="37"/>
      <c r="AC5" s="37"/>
      <c r="AD5" s="37"/>
      <c r="AE5" s="37"/>
      <c r="AF5" s="37"/>
      <c r="AG5" s="37"/>
      <c r="AH5" s="37"/>
      <c r="AI5" s="37"/>
      <c r="AJ5" s="37"/>
      <c r="AK5" s="37"/>
      <c r="AL5" s="37"/>
      <c r="AM5" s="37"/>
      <c r="AN5" s="39"/>
      <c r="AP5" s="10"/>
      <c r="AQ5" s="10"/>
      <c r="AR5" s="10"/>
    </row>
    <row r="6" spans="2:44" ht="12" customHeight="1">
      <c r="B6" s="801"/>
      <c r="C6" s="796"/>
      <c r="D6" s="36"/>
      <c r="E6" s="37"/>
      <c r="F6" s="37"/>
      <c r="G6" s="37"/>
      <c r="H6" s="38"/>
      <c r="I6" s="38"/>
      <c r="J6" s="38"/>
      <c r="K6" s="38"/>
      <c r="L6" s="37"/>
      <c r="M6" s="37"/>
      <c r="N6" s="37"/>
      <c r="O6" s="37"/>
      <c r="P6" s="36" t="s">
        <v>136</v>
      </c>
      <c r="Q6" s="37" t="s">
        <v>137</v>
      </c>
      <c r="R6" s="37" t="s">
        <v>137</v>
      </c>
      <c r="S6" s="37" t="s">
        <v>137</v>
      </c>
      <c r="T6" s="38" t="s">
        <v>137</v>
      </c>
      <c r="U6" s="38" t="s">
        <v>137</v>
      </c>
      <c r="V6" s="38" t="s">
        <v>137</v>
      </c>
      <c r="W6" s="38" t="s">
        <v>137</v>
      </c>
      <c r="X6" s="37" t="s">
        <v>616</v>
      </c>
      <c r="Y6" s="37" t="s">
        <v>138</v>
      </c>
      <c r="Z6" s="37" t="s">
        <v>138</v>
      </c>
      <c r="AA6" s="37" t="s">
        <v>138</v>
      </c>
      <c r="AB6" s="37" t="s">
        <v>139</v>
      </c>
      <c r="AC6" s="37" t="s">
        <v>139</v>
      </c>
      <c r="AD6" s="37" t="s">
        <v>139</v>
      </c>
      <c r="AE6" s="37" t="s">
        <v>139</v>
      </c>
      <c r="AF6" s="37" t="s">
        <v>139</v>
      </c>
      <c r="AG6" s="37" t="s">
        <v>139</v>
      </c>
      <c r="AH6" s="37" t="s">
        <v>139</v>
      </c>
      <c r="AI6" s="37" t="s">
        <v>139</v>
      </c>
      <c r="AJ6" s="38" t="s">
        <v>613</v>
      </c>
      <c r="AK6" s="37"/>
      <c r="AL6" s="37"/>
      <c r="AM6" s="37"/>
      <c r="AN6" s="39"/>
      <c r="AP6" s="10"/>
      <c r="AQ6" s="10"/>
      <c r="AR6" s="10"/>
    </row>
    <row r="7" spans="2:44" ht="12" customHeight="1">
      <c r="B7" s="801"/>
      <c r="C7" s="796"/>
      <c r="D7" s="36"/>
      <c r="E7" s="37"/>
      <c r="F7" s="37"/>
      <c r="G7" s="37"/>
      <c r="H7" s="37"/>
      <c r="I7" s="37"/>
      <c r="J7" s="37"/>
      <c r="K7" s="37"/>
      <c r="L7" s="37"/>
      <c r="M7" s="37"/>
      <c r="N7" s="37"/>
      <c r="O7" s="37"/>
      <c r="P7" s="36"/>
      <c r="Q7" s="37"/>
      <c r="R7" s="37"/>
      <c r="S7" s="37"/>
      <c r="T7" s="37"/>
      <c r="U7" s="37"/>
      <c r="V7" s="37"/>
      <c r="W7" s="37"/>
      <c r="X7" s="37"/>
      <c r="Y7" s="37"/>
      <c r="Z7" s="37"/>
      <c r="AA7" s="37"/>
      <c r="AB7" s="36"/>
      <c r="AC7" s="37"/>
      <c r="AD7" s="37"/>
      <c r="AE7" s="37"/>
      <c r="AF7" s="37"/>
      <c r="AG7" s="37"/>
      <c r="AH7" s="37"/>
      <c r="AI7" s="37"/>
      <c r="AJ7" s="37"/>
      <c r="AK7" s="37"/>
      <c r="AL7" s="37"/>
      <c r="AM7" s="37"/>
      <c r="AN7" s="39"/>
      <c r="AP7" s="10"/>
      <c r="AQ7" s="10"/>
      <c r="AR7" s="10"/>
    </row>
    <row r="8" spans="2:44" ht="12" customHeight="1">
      <c r="B8" s="802"/>
      <c r="C8" s="797"/>
      <c r="D8" s="716"/>
      <c r="E8" s="716"/>
      <c r="F8" s="41"/>
      <c r="G8" s="41"/>
      <c r="H8" s="41"/>
      <c r="I8" s="41"/>
      <c r="J8" s="41"/>
      <c r="K8" s="41"/>
      <c r="L8" s="41"/>
      <c r="M8" s="41"/>
      <c r="N8" s="41"/>
      <c r="O8" s="41"/>
      <c r="P8" s="40"/>
      <c r="Q8" s="41"/>
      <c r="R8" s="41"/>
      <c r="S8" s="41"/>
      <c r="T8" s="41"/>
      <c r="U8" s="41"/>
      <c r="V8" s="41"/>
      <c r="W8" s="41"/>
      <c r="X8" s="41"/>
      <c r="Y8" s="41"/>
      <c r="Z8" s="41"/>
      <c r="AA8" s="41"/>
      <c r="AB8" s="40"/>
      <c r="AC8" s="41"/>
      <c r="AD8" s="41"/>
      <c r="AE8" s="41"/>
      <c r="AF8" s="41"/>
      <c r="AG8" s="41"/>
      <c r="AH8" s="41"/>
      <c r="AI8" s="41"/>
      <c r="AJ8" s="41"/>
      <c r="AK8" s="41"/>
      <c r="AL8" s="41"/>
      <c r="AM8" s="41"/>
      <c r="AN8" s="39"/>
      <c r="AP8" s="10"/>
      <c r="AQ8" s="10"/>
      <c r="AR8" s="10"/>
    </row>
    <row r="9" spans="2:44" ht="15" customHeight="1">
      <c r="B9" s="803" t="str">
        <f>①技術体系!A6</f>
        <v>育苗管理</v>
      </c>
      <c r="C9" s="804"/>
      <c r="D9" s="354">
        <f>SUMPRODUCT((③労働時間!$A$5:$A$195=作業体系表!$B9)*(③労働時間!$B$5:$B$195="1月上旬")*(③労働時間!$J$5:$J$195))</f>
        <v>0</v>
      </c>
      <c r="E9" s="354">
        <f>SUMPRODUCT((③労働時間!$A$5:$A$195=作業体系表!$B9)*(③労働時間!$B$5:$B$195="1月中旬")*(③労働時間!$J$5:$J$195))</f>
        <v>0</v>
      </c>
      <c r="F9" s="339">
        <f>SUMPRODUCT((③労働時間!$A$5:$A$195=作業体系表!$B9)*(③労働時間!$B$5:$B$195="1月下旬")*(③労働時間!$J$5:$J$195))</f>
        <v>7.75</v>
      </c>
      <c r="G9" s="339">
        <f>SUMPRODUCT((③労働時間!$A$5:$A$195=作業体系表!$B9)*(③労働時間!$B$5:$B$195="2月上旬")*(③労働時間!$J$5:$J$195))</f>
        <v>1.83</v>
      </c>
      <c r="H9" s="339">
        <f>SUMPRODUCT((③労働時間!$A$5:$A$195=作業体系表!$B9)*(③労働時間!$B$5:$B$195="2月中旬")*(③労働時間!$J$5:$J$195))</f>
        <v>2.08</v>
      </c>
      <c r="I9" s="339">
        <f>SUMPRODUCT((③労働時間!$A$5:$A$195=作業体系表!$B9)*(③労働時間!$B$5:$B$195="2月下旬")*(③労働時間!$J$5:$J$195))</f>
        <v>1.83</v>
      </c>
      <c r="J9" s="339">
        <f>SUMPRODUCT((③労働時間!$A$5:$A$195=作業体系表!$B9)*(③労働時間!$B$5:$B$195="3月上旬")*(③労働時間!$J$5:$J$195))</f>
        <v>30.439999999999998</v>
      </c>
      <c r="K9" s="339">
        <f>SUMPRODUCT((③労働時間!$A$5:$A$195=作業体系表!$B9)*(③労働時間!$B$5:$B$195="3月中旬")*(③労働時間!$J$5:$J$195))</f>
        <v>2</v>
      </c>
      <c r="L9" s="339">
        <f>SUMPRODUCT((③労働時間!$A$5:$A$195=作業体系表!$B9)*(③労働時間!$B$5:$B$195="3月下旬")*(③労働時間!$J$5:$J$195))</f>
        <v>1.33</v>
      </c>
      <c r="M9" s="339">
        <f>SUMPRODUCT((③労働時間!$A$5:$A$195=作業体系表!$B9)*(③労働時間!$B$5:$B$195="4月上旬")*(③労働時間!$J$5:$J$195))</f>
        <v>7.3900000000000006</v>
      </c>
      <c r="N9" s="339">
        <f>SUMPRODUCT((③労働時間!$A$5:$A$195=作業体系表!$B9)*(③労働時間!$B$5:$B$195="4月中旬")*(③労働時間!$J$5:$J$195))</f>
        <v>1.66</v>
      </c>
      <c r="O9" s="339">
        <f>SUMPRODUCT((③労働時間!$A$5:$A$195=作業体系表!$B9)*(③労働時間!$B$5:$B$195="4月下旬")*(③労働時間!$J$5:$J$195))</f>
        <v>0</v>
      </c>
      <c r="P9" s="340">
        <f>SUMPRODUCT((③労働時間!$A$5:$A$195=作業体系表!$B9)*(③労働時間!$B$5:$B$195="5月上旬")*(③労働時間!$J$5:$J$195))</f>
        <v>7.7</v>
      </c>
      <c r="Q9" s="339">
        <f>SUMPRODUCT((③労働時間!$A$5:$A$195=作業体系表!$B9)*(③労働時間!$B$5:$B$195="5月中旬")*(③労働時間!$J$5:$J$195))</f>
        <v>1.92</v>
      </c>
      <c r="R9" s="339">
        <f>SUMPRODUCT((③労働時間!$A$5:$A$195=作業体系表!$B9)*(③労働時間!$B$5:$B$195="5月下旬")*(③労働時間!$J$5:$J$195))</f>
        <v>2.58</v>
      </c>
      <c r="S9" s="339">
        <f>SUMPRODUCT((③労働時間!$A$5:$A$195=作業体系表!$B9)*(③労働時間!$B$5:$B$195="6月上旬")*(③労働時間!$J$5:$J$195))</f>
        <v>1.25</v>
      </c>
      <c r="T9" s="339">
        <f>SUMPRODUCT((③労働時間!$A$5:$A$195=作業体系表!$B9)*(③労働時間!$B$5:$B$195="6月中旬")*(③労働時間!$J$5:$J$195))</f>
        <v>0.75</v>
      </c>
      <c r="U9" s="339">
        <f>SUMPRODUCT((③労働時間!$A$5:$A$195=作業体系表!$B9)*(③労働時間!$B$5:$B$195="6月下旬")*(③労働時間!$J$5:$J$195))</f>
        <v>24.61</v>
      </c>
      <c r="V9" s="339">
        <f>SUMPRODUCT((③労働時間!$A$5:$A$195=作業体系表!$B9)*(③労働時間!$B$5:$B$195="7月上旬")*(③労働時間!$J$5:$J$195))</f>
        <v>0.5</v>
      </c>
      <c r="W9" s="339">
        <f>SUMPRODUCT((③労働時間!$A$5:$A$195=作業体系表!$B9)*(③労働時間!$B$5:$B$195="7月中旬")*(③労働時間!$J$5:$J$195))</f>
        <v>0.5</v>
      </c>
      <c r="X9" s="339">
        <f>SUMPRODUCT((③労働時間!$A$5:$A$195=作業体系表!$B9)*(③労働時間!$B$5:$B$195="7月下旬")*(③労働時間!$J$5:$J$195))</f>
        <v>0</v>
      </c>
      <c r="Y9" s="339">
        <f>SUMPRODUCT((③労働時間!$A$5:$A$195=作業体系表!$B9)*(③労働時間!$B$5:$B$195="8月上旬")*(③労働時間!$J$5:$J$195))</f>
        <v>0</v>
      </c>
      <c r="Z9" s="339">
        <f>SUMPRODUCT((③労働時間!$A$5:$A$195=作業体系表!$B9)*(③労働時間!$B$5:$B$195="8月中旬")*(③労働時間!$J$5:$J$195))</f>
        <v>0</v>
      </c>
      <c r="AA9" s="339">
        <f>SUMPRODUCT((③労働時間!$A$5:$A$195=作業体系表!$B9)*(③労働時間!$B$5:$B$195="8月下旬")*(③労働時間!$J$5:$J$195))</f>
        <v>0</v>
      </c>
      <c r="AB9" s="340">
        <f>SUMPRODUCT((③労働時間!$A$5:$A$195=作業体系表!$B9)*(③労働時間!$B$5:$B$195="9月上旬")*(③労働時間!$J$5:$J$195))</f>
        <v>0</v>
      </c>
      <c r="AC9" s="339">
        <f>SUMPRODUCT((③労働時間!$A$5:$A$195=作業体系表!$B9)*(③労働時間!$B$5:$B$195="9月中旬")*(③労働時間!$J$5:$J$195))</f>
        <v>0</v>
      </c>
      <c r="AD9" s="339">
        <f>SUMPRODUCT((③労働時間!$A$5:$A$195=作業体系表!$B9)*(③労働時間!$B$5:$B$195="9月下旬")*(③労働時間!$J$5:$J$195))</f>
        <v>0</v>
      </c>
      <c r="AE9" s="339">
        <f>SUMPRODUCT((③労働時間!$A$5:$A$195=作業体系表!$B9)*(③労働時間!$B$5:$B$195="10月上旬")*(③労働時間!$J$5:$J$195))</f>
        <v>0</v>
      </c>
      <c r="AF9" s="339">
        <f>SUMPRODUCT((③労働時間!$A$5:$A$195=作業体系表!$B9)*(③労働時間!$B$5:$B$195="10月中旬")*(③労働時間!$J$5:$J$195))</f>
        <v>0</v>
      </c>
      <c r="AG9" s="339">
        <f>SUMPRODUCT((③労働時間!$A$5:$A$195=作業体系表!$B9)*(③労働時間!$B$5:$B$195="10月下旬")*(③労働時間!$J$5:$J$195))</f>
        <v>0</v>
      </c>
      <c r="AH9" s="339">
        <f>SUMPRODUCT((③労働時間!$A$5:$A$195=作業体系表!$B9)*(③労働時間!$B$5:$B$195="11月上旬")*(③労働時間!$J$5:$J$195))</f>
        <v>0</v>
      </c>
      <c r="AI9" s="339">
        <f>SUMPRODUCT((③労働時間!$A$5:$A$195=作業体系表!$B9)*(③労働時間!$B$5:$B$195="11月中旬")*(③労働時間!$J$5:$J$195))</f>
        <v>0</v>
      </c>
      <c r="AJ9" s="339">
        <f>SUMPRODUCT((③労働時間!$A$5:$A$195=作業体系表!$B9)*(③労働時間!$B$5:$B$195="11月下旬")*(③労働時間!$J$5:$J$195))</f>
        <v>0</v>
      </c>
      <c r="AK9" s="339">
        <f>SUMPRODUCT((③労働時間!$A$5:$A$195=作業体系表!$B9)*(③労働時間!$B$5:$B$195="12月上旬")*(③労働時間!$J$5:$J$195))</f>
        <v>0</v>
      </c>
      <c r="AL9" s="339">
        <f>SUMPRODUCT((③労働時間!$A$5:$A$195=作業体系表!$B9)*(③労働時間!$B$5:$B$195="12月中旬")*(③労働時間!$J$5:$J$195))</f>
        <v>0</v>
      </c>
      <c r="AM9" s="341">
        <f>SUMPRODUCT((③労働時間!$A$5:$A$195=作業体系表!$B9)*(③労働時間!$B$5:$B$195="12月下旬")*(③労働時間!$J$5:$J$195))</f>
        <v>0</v>
      </c>
      <c r="AN9" s="342">
        <f>SUM(D9:AM9)</f>
        <v>96.11999999999999</v>
      </c>
      <c r="AP9" s="10"/>
      <c r="AQ9" s="10"/>
      <c r="AR9" s="10"/>
    </row>
    <row r="10" spans="2:44" ht="15" customHeight="1">
      <c r="B10" s="784" t="str">
        <f>①技術体系!A8</f>
        <v>ハウス管理</v>
      </c>
      <c r="C10" s="785"/>
      <c r="D10" s="343">
        <f>SUMPRODUCT((③労働時間!$A$5:$A$195=作業体系表!$B10)*(③労働時間!$B$5:$B$195="1月上旬")*(③労働時間!$J$5:$J$195))</f>
        <v>0</v>
      </c>
      <c r="E10" s="343">
        <f>SUMPRODUCT((③労働時間!$A$5:$A$195=作業体系表!$B10)*(③労働時間!$B$5:$B$195="1月中旬")*(③労働時間!$J$5:$J$195))</f>
        <v>0</v>
      </c>
      <c r="F10" s="343">
        <f>SUMPRODUCT((③労働時間!$A$5:$A$195=作業体系表!$B10)*(③労働時間!$B$5:$B$195="1月下旬")*(③労働時間!$J$5:$J$195))</f>
        <v>0</v>
      </c>
      <c r="G10" s="343">
        <f>SUMPRODUCT((③労働時間!$A$5:$A$195=作業体系表!$B10)*(③労働時間!$B$5:$B$195="2月上旬")*(③労働時間!$J$5:$J$195))</f>
        <v>0</v>
      </c>
      <c r="H10" s="343">
        <f>SUMPRODUCT((③労働時間!$A$5:$A$195=作業体系表!$B10)*(③労働時間!$B$5:$B$195="2月中旬")*(③労働時間!$J$5:$J$195))</f>
        <v>0</v>
      </c>
      <c r="I10" s="343">
        <f>SUMPRODUCT((③労働時間!$A$5:$A$195=作業体系表!$B10)*(③労働時間!$B$5:$B$195="2月下旬")*(③労働時間!$J$5:$J$195))</f>
        <v>0</v>
      </c>
      <c r="J10" s="343">
        <f>SUMPRODUCT((③労働時間!$A$5:$A$195=作業体系表!$B10)*(③労働時間!$B$5:$B$195="3月上旬")*(③労働時間!$J$5:$J$195))</f>
        <v>0</v>
      </c>
      <c r="K10" s="343">
        <f>SUMPRODUCT((③労働時間!$A$5:$A$195=作業体系表!$B10)*(③労働時間!$B$5:$B$195="3月中旬")*(③労働時間!$J$5:$J$195))</f>
        <v>0</v>
      </c>
      <c r="L10" s="343">
        <f>SUMPRODUCT((③労働時間!$A$5:$A$195=作業体系表!$B10)*(③労働時間!$B$5:$B$195="3月下旬")*(③労働時間!$J$5:$J$195))</f>
        <v>0</v>
      </c>
      <c r="M10" s="343">
        <f>SUMPRODUCT((③労働時間!$A$5:$A$195=作業体系表!$B10)*(③労働時間!$B$5:$B$195="4月上旬")*(③労働時間!$J$5:$J$195))</f>
        <v>0</v>
      </c>
      <c r="N10" s="343">
        <f>SUMPRODUCT((③労働時間!$A$5:$A$195=作業体系表!$B10)*(③労働時間!$B$5:$B$195="4月中旬")*(③労働時間!$J$5:$J$195))</f>
        <v>0</v>
      </c>
      <c r="O10" s="343">
        <f>SUMPRODUCT((③労働時間!$A$5:$A$195=作業体系表!$B10)*(③労働時間!$B$5:$B$195="4月下旬")*(③労働時間!$J$5:$J$195))</f>
        <v>2.2799999999999998</v>
      </c>
      <c r="P10" s="344">
        <f>SUMPRODUCT((③労働時間!$A$5:$A$195=作業体系表!$B10)*(③労働時間!$B$5:$B$195="5月上旬")*(③労働時間!$J$5:$J$195))</f>
        <v>3.8</v>
      </c>
      <c r="Q10" s="343">
        <f>SUMPRODUCT((③労働時間!$A$5:$A$195=作業体系表!$B10)*(③労働時間!$B$5:$B$195="5月中旬")*(③労働時間!$J$5:$J$195))</f>
        <v>3.8</v>
      </c>
      <c r="R10" s="343">
        <f>SUMPRODUCT((③労働時間!$A$5:$A$195=作業体系表!$B10)*(③労働時間!$B$5:$B$195="5月下旬")*(③労働時間!$J$5:$J$195))</f>
        <v>4.18</v>
      </c>
      <c r="S10" s="343">
        <f>SUMPRODUCT((③労働時間!$A$5:$A$195=作業体系表!$B10)*(③労働時間!$B$5:$B$195="6月上旬")*(③労働時間!$J$5:$J$195))</f>
        <v>3.8</v>
      </c>
      <c r="T10" s="343">
        <f>SUMPRODUCT((③労働時間!$A$5:$A$195=作業体系表!$B10)*(③労働時間!$B$5:$B$195="6月中旬")*(③労働時間!$J$5:$J$195))</f>
        <v>3.8</v>
      </c>
      <c r="U10" s="343">
        <f>SUMPRODUCT((③労働時間!$A$5:$A$195=作業体系表!$B10)*(③労働時間!$B$5:$B$195="6月下旬")*(③労働時間!$J$5:$J$195))</f>
        <v>2.2799999999999998</v>
      </c>
      <c r="V10" s="343">
        <f>SUMPRODUCT((③労働時間!$A$5:$A$195=作業体系表!$B10)*(③労働時間!$B$5:$B$195="7月上旬")*(③労働時間!$J$5:$J$195))</f>
        <v>0.76</v>
      </c>
      <c r="W10" s="343">
        <f>SUMPRODUCT((③労働時間!$A$5:$A$195=作業体系表!$B10)*(③労働時間!$B$5:$B$195="7月中旬")*(③労働時間!$J$5:$J$195))</f>
        <v>0.38</v>
      </c>
      <c r="X10" s="343">
        <f>SUMPRODUCT((③労働時間!$A$5:$A$195=作業体系表!$B10)*(③労働時間!$B$5:$B$195="7月下旬")*(③労働時間!$J$5:$J$195))</f>
        <v>0</v>
      </c>
      <c r="Y10" s="343">
        <f>SUMPRODUCT((③労働時間!$A$5:$A$195=作業体系表!$B10)*(③労働時間!$B$5:$B$195="8月上旬")*(③労働時間!$J$5:$J$195))</f>
        <v>0</v>
      </c>
      <c r="Z10" s="343">
        <f>SUMPRODUCT((③労働時間!$A$5:$A$195=作業体系表!$B10)*(③労働時間!$B$5:$B$195="8月中旬")*(③労働時間!$J$5:$J$195))</f>
        <v>0</v>
      </c>
      <c r="AA10" s="343">
        <f>SUMPRODUCT((③労働時間!$A$5:$A$195=作業体系表!$B10)*(③労働時間!$B$5:$B$195="8月下旬")*(③労働時間!$J$5:$J$195))</f>
        <v>0.38</v>
      </c>
      <c r="AB10" s="344">
        <f>SUMPRODUCT((③労働時間!$A$5:$A$195=作業体系表!$B10)*(③労働時間!$B$5:$B$195="9月上旬")*(③労働時間!$J$5:$J$195))</f>
        <v>0.38</v>
      </c>
      <c r="AC10" s="343">
        <f>SUMPRODUCT((③労働時間!$A$5:$A$195=作業体系表!$B10)*(③労働時間!$B$5:$B$195="9月中旬")*(③労働時間!$J$5:$J$195))</f>
        <v>0.38</v>
      </c>
      <c r="AD10" s="343">
        <f>SUMPRODUCT((③労働時間!$A$5:$A$195=作業体系表!$B10)*(③労働時間!$B$5:$B$195="9月下旬")*(③労働時間!$J$5:$J$195))</f>
        <v>0.38</v>
      </c>
      <c r="AE10" s="343">
        <f>SUMPRODUCT((③労働時間!$A$5:$A$195=作業体系表!$B10)*(③労働時間!$B$5:$B$195="10月上旬")*(③労働時間!$J$5:$J$195))</f>
        <v>0.38</v>
      </c>
      <c r="AF10" s="343">
        <f>SUMPRODUCT((③労働時間!$A$5:$A$195=作業体系表!$B10)*(③労働時間!$B$5:$B$195="10月中旬")*(③労働時間!$J$5:$J$195))</f>
        <v>0.38</v>
      </c>
      <c r="AG10" s="343">
        <f>SUMPRODUCT((③労働時間!$A$5:$A$195=作業体系表!$B10)*(③労働時間!$B$5:$B$195="10月下旬")*(③労働時間!$J$5:$J$195))</f>
        <v>0.18</v>
      </c>
      <c r="AH10" s="343">
        <f>SUMPRODUCT((③労働時間!$A$5:$A$195=作業体系表!$B10)*(③労働時間!$B$5:$B$195="11月上旬")*(③労働時間!$J$5:$J$195))</f>
        <v>0</v>
      </c>
      <c r="AI10" s="343">
        <f>SUMPRODUCT((③労働時間!$A$5:$A$195=作業体系表!$B10)*(③労働時間!$B$5:$B$195="11月中旬")*(③労働時間!$J$5:$J$195))</f>
        <v>0</v>
      </c>
      <c r="AJ10" s="343">
        <f>SUMPRODUCT((③労働時間!$A$5:$A$195=作業体系表!$B10)*(③労働時間!$B$5:$B$195="11月下旬")*(③労働時間!$J$5:$J$195))</f>
        <v>0</v>
      </c>
      <c r="AK10" s="343">
        <f>SUMPRODUCT((③労働時間!$A$5:$A$195=作業体系表!$B10)*(③労働時間!$B$5:$B$195="12月上旬")*(③労働時間!$J$5:$J$195))</f>
        <v>0</v>
      </c>
      <c r="AL10" s="343">
        <f>SUMPRODUCT((③労働時間!$A$5:$A$195=作業体系表!$B10)*(③労働時間!$B$5:$B$195="12月中旬")*(③労働時間!$J$5:$J$195))</f>
        <v>0</v>
      </c>
      <c r="AM10" s="345">
        <f>SUMPRODUCT((③労働時間!$A$5:$A$195=作業体系表!$B10)*(③労働時間!$B$5:$B$195="12月下旬")*(③労働時間!$J$5:$J$195))</f>
        <v>0</v>
      </c>
      <c r="AN10" s="346">
        <f t="shared" ref="AN10:AN27" si="0">SUM(D10:AM10)</f>
        <v>27.539999999999996</v>
      </c>
      <c r="AP10" s="10"/>
      <c r="AQ10" s="10"/>
      <c r="AR10" s="10"/>
    </row>
    <row r="11" spans="2:44" ht="15" customHeight="1">
      <c r="B11" s="784" t="str">
        <f>①技術体系!A7</f>
        <v>ほ場準備</v>
      </c>
      <c r="C11" s="785"/>
      <c r="D11" s="343">
        <f>SUMPRODUCT((③労働時間!$A$5:$A$195=作業体系表!$B11)*(③労働時間!$B$5:$B$195="1月上旬")*(③労働時間!$J$5:$J$195))</f>
        <v>0</v>
      </c>
      <c r="E11" s="343">
        <f>SUMPRODUCT((③労働時間!$A$5:$A$195=作業体系表!$B11)*(③労働時間!$B$5:$B$195="1月中旬")*(③労働時間!$J$5:$J$195))</f>
        <v>0</v>
      </c>
      <c r="F11" s="343">
        <f>SUMPRODUCT((③労働時間!$A$5:$A$195=作業体系表!$B11)*(③労働時間!$B$5:$B$195="1月下旬")*(③労働時間!$J$5:$J$195))</f>
        <v>0</v>
      </c>
      <c r="G11" s="343">
        <f>SUMPRODUCT((③労働時間!$A$5:$A$195=作業体系表!$B11)*(③労働時間!$B$5:$B$195="2月上旬")*(③労働時間!$J$5:$J$195))</f>
        <v>0</v>
      </c>
      <c r="H11" s="343">
        <f>SUMPRODUCT((③労働時間!$A$5:$A$195=作業体系表!$B11)*(③労働時間!$B$5:$B$195="2月中旬")*(③労働時間!$J$5:$J$195))</f>
        <v>0</v>
      </c>
      <c r="I11" s="343">
        <f>SUMPRODUCT((③労働時間!$A$5:$A$195=作業体系表!$B11)*(③労働時間!$B$5:$B$195="2月下旬")*(③労働時間!$J$5:$J$195))</f>
        <v>0</v>
      </c>
      <c r="J11" s="343">
        <f>SUMPRODUCT((③労働時間!$A$5:$A$195=作業体系表!$B11)*(③労働時間!$B$5:$B$195="3月上旬")*(③労働時間!$J$5:$J$195))</f>
        <v>0</v>
      </c>
      <c r="K11" s="343">
        <f>SUMPRODUCT((③労働時間!$A$5:$A$195=作業体系表!$B11)*(③労働時間!$B$5:$B$195="3月中旬")*(③労働時間!$J$5:$J$195))</f>
        <v>22.9</v>
      </c>
      <c r="L11" s="343">
        <f>SUMPRODUCT((③労働時間!$A$5:$A$195=作業体系表!$B11)*(③労働時間!$B$5:$B$195="3月下旬")*(③労働時間!$J$5:$J$195))</f>
        <v>5</v>
      </c>
      <c r="M11" s="343">
        <f>SUMPRODUCT((③労働時間!$A$5:$A$195=作業体系表!$B11)*(③労働時間!$B$5:$B$195="4月上旬")*(③労働時間!$J$5:$J$195))</f>
        <v>4.58</v>
      </c>
      <c r="N11" s="343">
        <f>SUMPRODUCT((③労働時間!$A$5:$A$195=作業体系表!$B11)*(③労働時間!$B$5:$B$195="4月中旬")*(③労働時間!$J$5:$J$195))</f>
        <v>24.05</v>
      </c>
      <c r="O11" s="343">
        <f>SUMPRODUCT((③労働時間!$A$5:$A$195=作業体系表!$B11)*(③労働時間!$B$5:$B$195="4月下旬")*(③労働時間!$J$5:$J$195))</f>
        <v>0</v>
      </c>
      <c r="P11" s="344">
        <f>SUMPRODUCT((③労働時間!$A$5:$A$195=作業体系表!$B11)*(③労働時間!$B$5:$B$195="5月上旬")*(③労働時間!$J$5:$J$195))</f>
        <v>0</v>
      </c>
      <c r="Q11" s="343">
        <f>SUMPRODUCT((③労働時間!$A$5:$A$195=作業体系表!$B11)*(③労働時間!$B$5:$B$195="5月中旬")*(③労働時間!$J$5:$J$195))</f>
        <v>0</v>
      </c>
      <c r="R11" s="343">
        <f>SUMPRODUCT((③労働時間!$A$5:$A$195=作業体系表!$B11)*(③労働時間!$B$5:$B$195="5月下旬")*(③労働時間!$J$5:$J$195))</f>
        <v>0</v>
      </c>
      <c r="S11" s="343">
        <f>SUMPRODUCT((③労働時間!$A$5:$A$195=作業体系表!$B11)*(③労働時間!$B$5:$B$195="6月上旬")*(③労働時間!$J$5:$J$195))</f>
        <v>0</v>
      </c>
      <c r="T11" s="343">
        <f>SUMPRODUCT((③労働時間!$A$5:$A$195=作業体系表!$B11)*(③労働時間!$B$5:$B$195="6月中旬")*(③労働時間!$J$5:$J$195))</f>
        <v>0</v>
      </c>
      <c r="U11" s="343">
        <f>SUMPRODUCT((③労働時間!$A$5:$A$195=作業体系表!$B11)*(③労働時間!$B$5:$B$195="6月下旬")*(③労働時間!$J$5:$J$195))</f>
        <v>0</v>
      </c>
      <c r="V11" s="343">
        <f>SUMPRODUCT((③労働時間!$A$5:$A$195=作業体系表!$B11)*(③労働時間!$B$5:$B$195="7月上旬")*(③労働時間!$J$5:$J$195))</f>
        <v>0</v>
      </c>
      <c r="W11" s="343">
        <f>SUMPRODUCT((③労働時間!$A$5:$A$195=作業体系表!$B11)*(③労働時間!$B$5:$B$195="7月中旬")*(③労働時間!$J$5:$J$195))</f>
        <v>0</v>
      </c>
      <c r="X11" s="343">
        <f>SUMPRODUCT((③労働時間!$A$5:$A$195=作業体系表!$B11)*(③労働時間!$B$5:$B$195="7月下旬")*(③労働時間!$J$5:$J$195))</f>
        <v>1</v>
      </c>
      <c r="Y11" s="343">
        <f>SUMPRODUCT((③労働時間!$A$5:$A$195=作業体系表!$B11)*(③労働時間!$B$5:$B$195="8月上旬")*(③労働時間!$J$5:$J$195))</f>
        <v>0</v>
      </c>
      <c r="Z11" s="343">
        <f>SUMPRODUCT((③労働時間!$A$5:$A$195=作業体系表!$B11)*(③労働時間!$B$5:$B$195="8月中旬")*(③労働時間!$J$5:$J$195))</f>
        <v>0</v>
      </c>
      <c r="AA11" s="343">
        <f>SUMPRODUCT((③労働時間!$A$5:$A$195=作業体系表!$B11)*(③労働時間!$B$5:$B$195="8月下旬")*(③労働時間!$J$5:$J$195))</f>
        <v>0</v>
      </c>
      <c r="AB11" s="344">
        <f>SUMPRODUCT((③労働時間!$A$5:$A$195=作業体系表!$B11)*(③労働時間!$B$5:$B$195="9月上旬")*(③労働時間!$J$5:$J$195))</f>
        <v>0</v>
      </c>
      <c r="AC11" s="343">
        <f>SUMPRODUCT((③労働時間!$A$5:$A$195=作業体系表!$B11)*(③労働時間!$B$5:$B$195="9月中旬")*(③労働時間!$J$5:$J$195))</f>
        <v>0</v>
      </c>
      <c r="AD11" s="343">
        <f>SUMPRODUCT((③労働時間!$A$5:$A$195=作業体系表!$B11)*(③労働時間!$B$5:$B$195="9月下旬")*(③労働時間!$J$5:$J$195))</f>
        <v>0</v>
      </c>
      <c r="AE11" s="343">
        <f>SUMPRODUCT((③労働時間!$A$5:$A$195=作業体系表!$B11)*(③労働時間!$B$5:$B$195="10月上旬")*(③労働時間!$J$5:$J$195))</f>
        <v>0</v>
      </c>
      <c r="AF11" s="343">
        <f>SUMPRODUCT((③労働時間!$A$5:$A$195=作業体系表!$B11)*(③労働時間!$B$5:$B$195="10月中旬")*(③労働時間!$J$5:$J$195))</f>
        <v>0</v>
      </c>
      <c r="AG11" s="343">
        <f>SUMPRODUCT((③労働時間!$A$5:$A$195=作業体系表!$B11)*(③労働時間!$B$5:$B$195="10月下旬")*(③労働時間!$J$5:$J$195))</f>
        <v>0</v>
      </c>
      <c r="AH11" s="343">
        <f>SUMPRODUCT((③労働時間!$A$5:$A$195=作業体系表!$B11)*(③労働時間!$B$5:$B$195="11月上旬")*(③労働時間!$J$5:$J$195))</f>
        <v>0</v>
      </c>
      <c r="AI11" s="343">
        <f>SUMPRODUCT((③労働時間!$A$5:$A$195=作業体系表!$B11)*(③労働時間!$B$5:$B$195="11月中旬")*(③労働時間!$J$5:$J$195))</f>
        <v>0</v>
      </c>
      <c r="AJ11" s="343">
        <f>SUMPRODUCT((③労働時間!$A$5:$A$195=作業体系表!$B11)*(③労働時間!$B$5:$B$195="11月下旬")*(③労働時間!$J$5:$J$195))</f>
        <v>0</v>
      </c>
      <c r="AK11" s="343">
        <f>SUMPRODUCT((③労働時間!$A$5:$A$195=作業体系表!$B11)*(③労働時間!$B$5:$B$195="12月上旬")*(③労働時間!$J$5:$J$195))</f>
        <v>0</v>
      </c>
      <c r="AL11" s="343">
        <f>SUMPRODUCT((③労働時間!$A$5:$A$195=作業体系表!$B11)*(③労働時間!$B$5:$B$195="12月中旬")*(③労働時間!$J$5:$J$195))</f>
        <v>0</v>
      </c>
      <c r="AM11" s="345">
        <f>SUMPRODUCT((③労働時間!$A$5:$A$195=作業体系表!$B11)*(③労働時間!$B$5:$B$195="12月下旬")*(③労働時間!$J$5:$J$195))</f>
        <v>0</v>
      </c>
      <c r="AN11" s="346">
        <f t="shared" si="0"/>
        <v>57.53</v>
      </c>
      <c r="AP11" s="10"/>
      <c r="AQ11" s="10"/>
      <c r="AR11" s="10"/>
    </row>
    <row r="12" spans="2:44" ht="15" customHeight="1">
      <c r="B12" s="784" t="str">
        <f>①技術体系!A9</f>
        <v>肥培管理</v>
      </c>
      <c r="C12" s="785"/>
      <c r="D12" s="343">
        <f>SUMPRODUCT((③労働時間!$A$5:$A$195=作業体系表!$B12)*(③労働時間!$B$5:$B$195="1月上旬")*(③労働時間!$J$5:$J$195))</f>
        <v>0</v>
      </c>
      <c r="E12" s="343">
        <f>SUMPRODUCT((③労働時間!$A$5:$A$195=作業体系表!$B12)*(③労働時間!$B$5:$B$195="1月中旬")*(③労働時間!$J$5:$J$195))</f>
        <v>0</v>
      </c>
      <c r="F12" s="343">
        <f>SUMPRODUCT((③労働時間!$A$5:$A$195=作業体系表!$B12)*(③労働時間!$B$5:$B$195="1月下旬")*(③労働時間!$J$5:$J$195))</f>
        <v>0</v>
      </c>
      <c r="G12" s="343">
        <f>SUMPRODUCT((③労働時間!$A$5:$A$195=作業体系表!$B12)*(③労働時間!$B$5:$B$195="2月上旬")*(③労働時間!$J$5:$J$195))</f>
        <v>0</v>
      </c>
      <c r="H12" s="343">
        <f>SUMPRODUCT((③労働時間!$A$5:$A$195=作業体系表!$B12)*(③労働時間!$B$5:$B$195="2月中旬")*(③労働時間!$J$5:$J$195))</f>
        <v>0</v>
      </c>
      <c r="I12" s="343">
        <f>SUMPRODUCT((③労働時間!$A$5:$A$195=作業体系表!$B12)*(③労働時間!$B$5:$B$195="2月下旬")*(③労働時間!$J$5:$J$195))</f>
        <v>0</v>
      </c>
      <c r="J12" s="343">
        <f>SUMPRODUCT((③労働時間!$A$5:$A$195=作業体系表!$B12)*(③労働時間!$B$5:$B$195="3月上旬")*(③労働時間!$J$5:$J$195))</f>
        <v>0</v>
      </c>
      <c r="K12" s="343">
        <f>SUMPRODUCT((③労働時間!$A$5:$A$195=作業体系表!$B12)*(③労働時間!$B$5:$B$195="3月中旬")*(③労働時間!$J$5:$J$195))</f>
        <v>0</v>
      </c>
      <c r="L12" s="343">
        <f>SUMPRODUCT((③労働時間!$A$5:$A$195=作業体系表!$B12)*(③労働時間!$B$5:$B$195="3月下旬")*(③労働時間!$J$5:$J$195))</f>
        <v>0</v>
      </c>
      <c r="M12" s="343">
        <f>SUMPRODUCT((③労働時間!$A$5:$A$195=作業体系表!$B12)*(③労働時間!$B$5:$B$195="4月上旬")*(③労働時間!$J$5:$J$195))</f>
        <v>0</v>
      </c>
      <c r="N12" s="343">
        <f>SUMPRODUCT((③労働時間!$A$5:$A$195=作業体系表!$B12)*(③労働時間!$B$5:$B$195="4月中旬")*(③労働時間!$J$5:$J$195))</f>
        <v>0</v>
      </c>
      <c r="O12" s="343">
        <f>SUMPRODUCT((③労働時間!$A$5:$A$195=作業体系表!$B12)*(③労働時間!$B$5:$B$195="4月下旬")*(③労働時間!$J$5:$J$195))</f>
        <v>8</v>
      </c>
      <c r="P12" s="344">
        <f>SUMPRODUCT((③労働時間!$A$5:$A$195=作業体系表!$B12)*(③労働時間!$B$5:$B$195="5月上旬")*(③労働時間!$J$5:$J$195))</f>
        <v>0</v>
      </c>
      <c r="Q12" s="343">
        <f>SUMPRODUCT((③労働時間!$A$5:$A$195=作業体系表!$B12)*(③労働時間!$B$5:$B$195="5月中旬")*(③労働時間!$J$5:$J$195))</f>
        <v>0</v>
      </c>
      <c r="R12" s="343">
        <f>SUMPRODUCT((③労働時間!$A$5:$A$195=作業体系表!$B12)*(③労働時間!$B$5:$B$195="5月下旬")*(③労働時間!$J$5:$J$195))</f>
        <v>1.1499999999999999</v>
      </c>
      <c r="S12" s="343">
        <f>SUMPRODUCT((③労働時間!$A$5:$A$195=作業体系表!$B12)*(③労働時間!$B$5:$B$195="6月上旬")*(③労働時間!$J$5:$J$195))</f>
        <v>0</v>
      </c>
      <c r="T12" s="343">
        <f>SUMPRODUCT((③労働時間!$A$5:$A$195=作業体系表!$B12)*(③労働時間!$B$5:$B$195="6月中旬")*(③労働時間!$J$5:$J$195))</f>
        <v>0</v>
      </c>
      <c r="U12" s="343">
        <f>SUMPRODUCT((③労働時間!$A$5:$A$195=作業体系表!$B12)*(③労働時間!$B$5:$B$195="6月下旬")*(③労働時間!$J$5:$J$195))</f>
        <v>0</v>
      </c>
      <c r="V12" s="343">
        <f>SUMPRODUCT((③労働時間!$A$5:$A$195=作業体系表!$B12)*(③労働時間!$B$5:$B$195="7月上旬")*(③労働時間!$J$5:$J$195))</f>
        <v>0</v>
      </c>
      <c r="W12" s="343">
        <f>SUMPRODUCT((③労働時間!$A$5:$A$195=作業体系表!$B12)*(③労働時間!$B$5:$B$195="7月中旬")*(③労働時間!$J$5:$J$195))</f>
        <v>0</v>
      </c>
      <c r="X12" s="343">
        <f>SUMPRODUCT((③労働時間!$A$5:$A$195=作業体系表!$B12)*(③労働時間!$B$5:$B$195="7月下旬")*(③労働時間!$J$5:$J$195))</f>
        <v>8</v>
      </c>
      <c r="Y12" s="343">
        <f>SUMPRODUCT((③労働時間!$A$5:$A$195=作業体系表!$B12)*(③労働時間!$B$5:$B$195="8月上旬")*(③労働時間!$J$5:$J$195))</f>
        <v>0</v>
      </c>
      <c r="Z12" s="343">
        <f>SUMPRODUCT((③労働時間!$A$5:$A$195=作業体系表!$B12)*(③労働時間!$B$5:$B$195="8月中旬")*(③労働時間!$J$5:$J$195))</f>
        <v>0</v>
      </c>
      <c r="AA12" s="343">
        <f>SUMPRODUCT((③労働時間!$A$5:$A$195=作業体系表!$B12)*(③労働時間!$B$5:$B$195="8月下旬")*(③労働時間!$J$5:$J$195))</f>
        <v>0</v>
      </c>
      <c r="AB12" s="344">
        <f>SUMPRODUCT((③労働時間!$A$5:$A$195=作業体系表!$B12)*(③労働時間!$B$5:$B$195="9月上旬")*(③労働時間!$J$5:$J$195))</f>
        <v>0</v>
      </c>
      <c r="AC12" s="343">
        <f>SUMPRODUCT((③労働時間!$A$5:$A$195=作業体系表!$B12)*(③労働時間!$B$5:$B$195="9月中旬")*(③労働時間!$J$5:$J$195))</f>
        <v>1.1499999999999999</v>
      </c>
      <c r="AD12" s="343">
        <f>SUMPRODUCT((③労働時間!$A$5:$A$195=作業体系表!$B12)*(③労働時間!$B$5:$B$195="9月下旬")*(③労働時間!$J$5:$J$195))</f>
        <v>0</v>
      </c>
      <c r="AE12" s="343">
        <f>SUMPRODUCT((③労働時間!$A$5:$A$195=作業体系表!$B12)*(③労働時間!$B$5:$B$195="10月上旬")*(③労働時間!$J$5:$J$195))</f>
        <v>0</v>
      </c>
      <c r="AF12" s="343">
        <f>SUMPRODUCT((③労働時間!$A$5:$A$195=作業体系表!$B12)*(③労働時間!$B$5:$B$195="10月中旬")*(③労働時間!$J$5:$J$195))</f>
        <v>0</v>
      </c>
      <c r="AG12" s="343">
        <f>SUMPRODUCT((③労働時間!$A$5:$A$195=作業体系表!$B12)*(③労働時間!$B$5:$B$195="10月下旬")*(③労働時間!$J$5:$J$195))</f>
        <v>0</v>
      </c>
      <c r="AH12" s="343">
        <f>SUMPRODUCT((③労働時間!$A$5:$A$195=作業体系表!$B12)*(③労働時間!$B$5:$B$195="11月上旬")*(③労働時間!$J$5:$J$195))</f>
        <v>0</v>
      </c>
      <c r="AI12" s="343">
        <f>SUMPRODUCT((③労働時間!$A$5:$A$195=作業体系表!$B12)*(③労働時間!$B$5:$B$195="11月中旬")*(③労働時間!$J$5:$J$195))</f>
        <v>0</v>
      </c>
      <c r="AJ12" s="343">
        <f>SUMPRODUCT((③労働時間!$A$5:$A$195=作業体系表!$B12)*(③労働時間!$B$5:$B$195="11月下旬")*(③労働時間!$J$5:$J$195))</f>
        <v>0</v>
      </c>
      <c r="AK12" s="343">
        <f>SUMPRODUCT((③労働時間!$A$5:$A$195=作業体系表!$B12)*(③労働時間!$B$5:$B$195="12月上旬")*(③労働時間!$J$5:$J$195))</f>
        <v>0</v>
      </c>
      <c r="AL12" s="343">
        <f>SUMPRODUCT((③労働時間!$A$5:$A$195=作業体系表!$B12)*(③労働時間!$B$5:$B$195="12月中旬")*(③労働時間!$J$5:$J$195))</f>
        <v>0</v>
      </c>
      <c r="AM12" s="345">
        <f>SUMPRODUCT((③労働時間!$A$5:$A$195=作業体系表!$B12)*(③労働時間!$B$5:$B$195="12月下旬")*(③労働時間!$J$5:$J$195))</f>
        <v>0</v>
      </c>
      <c r="AN12" s="346">
        <f t="shared" si="0"/>
        <v>18.299999999999997</v>
      </c>
    </row>
    <row r="13" spans="2:44" ht="15" customHeight="1">
      <c r="B13" s="784" t="str">
        <f>①技術体系!A10</f>
        <v>定植</v>
      </c>
      <c r="C13" s="785"/>
      <c r="D13" s="343">
        <f>SUMPRODUCT((③労働時間!$A$5:$A$195=作業体系表!$B13)*(③労働時間!$B$5:$B$195="1月上旬")*(③労働時間!$J$5:$J$195))</f>
        <v>0</v>
      </c>
      <c r="E13" s="343">
        <f>SUMPRODUCT((③労働時間!$A$5:$A$195=作業体系表!$B13)*(③労働時間!$B$5:$B$195="1月中旬")*(③労働時間!$J$5:$J$195))</f>
        <v>0</v>
      </c>
      <c r="F13" s="343">
        <f>SUMPRODUCT((③労働時間!$A$5:$A$195=作業体系表!$B13)*(③労働時間!$B$5:$B$195="1月下旬")*(③労働時間!$J$5:$J$195))</f>
        <v>0</v>
      </c>
      <c r="G13" s="343">
        <f>SUMPRODUCT((③労働時間!$A$5:$A$195=作業体系表!$B13)*(③労働時間!$B$5:$B$195="2月上旬")*(③労働時間!$J$5:$J$195))</f>
        <v>0</v>
      </c>
      <c r="H13" s="343">
        <f>SUMPRODUCT((③労働時間!$A$5:$A$195=作業体系表!$B13)*(③労働時間!$B$5:$B$195="2月中旬")*(③労働時間!$J$5:$J$195))</f>
        <v>0</v>
      </c>
      <c r="I13" s="343">
        <f>SUMPRODUCT((③労働時間!$A$5:$A$195=作業体系表!$B13)*(③労働時間!$B$5:$B$195="2月下旬")*(③労働時間!$J$5:$J$195))</f>
        <v>0</v>
      </c>
      <c r="J13" s="343">
        <f>SUMPRODUCT((③労働時間!$A$5:$A$195=作業体系表!$B13)*(③労働時間!$B$5:$B$195="3月上旬")*(③労働時間!$J$5:$J$195))</f>
        <v>0</v>
      </c>
      <c r="K13" s="343">
        <f>SUMPRODUCT((③労働時間!$A$5:$A$195=作業体系表!$B13)*(③労働時間!$B$5:$B$195="3月中旬")*(③労働時間!$J$5:$J$195))</f>
        <v>0</v>
      </c>
      <c r="L13" s="343">
        <f>SUMPRODUCT((③労働時間!$A$5:$A$195=作業体系表!$B13)*(③労働時間!$B$5:$B$195="3月下旬")*(③労働時間!$J$5:$J$195))</f>
        <v>0</v>
      </c>
      <c r="M13" s="343">
        <f>SUMPRODUCT((③労働時間!$A$5:$A$195=作業体系表!$B13)*(③労働時間!$B$5:$B$195="4月上旬")*(③労働時間!$J$5:$J$195))</f>
        <v>0</v>
      </c>
      <c r="N13" s="343">
        <f>SUMPRODUCT((③労働時間!$A$5:$A$195=作業体系表!$B13)*(③労働時間!$B$5:$B$195="4月中旬")*(③労働時間!$J$5:$J$195))</f>
        <v>0</v>
      </c>
      <c r="O13" s="343">
        <f>SUMPRODUCT((③労働時間!$A$5:$A$195=作業体系表!$B13)*(③労働時間!$B$5:$B$195="4月下旬")*(③労働時間!$J$5:$J$195))</f>
        <v>14.99</v>
      </c>
      <c r="P13" s="344">
        <f>SUMPRODUCT((③労働時間!$A$5:$A$195=作業体系表!$B13)*(③労働時間!$B$5:$B$195="5月上旬")*(③労働時間!$J$5:$J$195))</f>
        <v>0</v>
      </c>
      <c r="Q13" s="343">
        <f>SUMPRODUCT((③労働時間!$A$5:$A$195=作業体系表!$B13)*(③労働時間!$B$5:$B$195="5月中旬")*(③労働時間!$J$5:$J$195))</f>
        <v>0</v>
      </c>
      <c r="R13" s="343">
        <f>SUMPRODUCT((③労働時間!$A$5:$A$195=作業体系表!$B13)*(③労働時間!$B$5:$B$195="5月下旬")*(③労働時間!$J$5:$J$195))</f>
        <v>0</v>
      </c>
      <c r="S13" s="343">
        <f>SUMPRODUCT((③労働時間!$A$5:$A$195=作業体系表!$B13)*(③労働時間!$B$5:$B$195="6月上旬")*(③労働時間!$J$5:$J$195))</f>
        <v>0</v>
      </c>
      <c r="T13" s="343">
        <f>SUMPRODUCT((③労働時間!$A$5:$A$195=作業体系表!$B13)*(③労働時間!$B$5:$B$195="6月中旬")*(③労働時間!$J$5:$J$195))</f>
        <v>0</v>
      </c>
      <c r="U13" s="343">
        <f>SUMPRODUCT((③労働時間!$A$5:$A$195=作業体系表!$B13)*(③労働時間!$B$5:$B$195="6月下旬")*(③労働時間!$J$5:$J$195))</f>
        <v>0</v>
      </c>
      <c r="V13" s="343">
        <f>SUMPRODUCT((③労働時間!$A$5:$A$195=作業体系表!$B13)*(③労働時間!$B$5:$B$195="7月上旬")*(③労働時間!$J$5:$J$195))</f>
        <v>0</v>
      </c>
      <c r="W13" s="343">
        <f>SUMPRODUCT((③労働時間!$A$5:$A$195=作業体系表!$B13)*(③労働時間!$B$5:$B$195="7月中旬")*(③労働時間!$J$5:$J$195))</f>
        <v>0</v>
      </c>
      <c r="X13" s="343">
        <f>SUMPRODUCT((③労働時間!$A$5:$A$195=作業体系表!$B13)*(③労働時間!$B$5:$B$195="7月下旬")*(③労働時間!$J$5:$J$195))</f>
        <v>14.99</v>
      </c>
      <c r="Y13" s="343">
        <f>SUMPRODUCT((③労働時間!$A$5:$A$195=作業体系表!$B13)*(③労働時間!$B$5:$B$195="8月上旬")*(③労働時間!$J$5:$J$195))</f>
        <v>0</v>
      </c>
      <c r="Z13" s="343">
        <f>SUMPRODUCT((③労働時間!$A$5:$A$195=作業体系表!$B13)*(③労働時間!$B$5:$B$195="8月中旬")*(③労働時間!$J$5:$J$195))</f>
        <v>0</v>
      </c>
      <c r="AA13" s="343">
        <f>SUMPRODUCT((③労働時間!$A$5:$A$195=作業体系表!$B13)*(③労働時間!$B$5:$B$195="8月下旬")*(③労働時間!$J$5:$J$195))</f>
        <v>0</v>
      </c>
      <c r="AB13" s="344">
        <f>SUMPRODUCT((③労働時間!$A$5:$A$195=作業体系表!$B13)*(③労働時間!$B$5:$B$195="9月上旬")*(③労働時間!$J$5:$J$195))</f>
        <v>0</v>
      </c>
      <c r="AC13" s="343">
        <f>SUMPRODUCT((③労働時間!$A$5:$A$195=作業体系表!$B13)*(③労働時間!$B$5:$B$195="9月中旬")*(③労働時間!$J$5:$J$195))</f>
        <v>0</v>
      </c>
      <c r="AD13" s="343">
        <f>SUMPRODUCT((③労働時間!$A$5:$A$195=作業体系表!$B13)*(③労働時間!$B$5:$B$195="9月下旬")*(③労働時間!$J$5:$J$195))</f>
        <v>0</v>
      </c>
      <c r="AE13" s="343">
        <f>SUMPRODUCT((③労働時間!$A$5:$A$195=作業体系表!$B13)*(③労働時間!$B$5:$B$195="10月上旬")*(③労働時間!$J$5:$J$195))</f>
        <v>0</v>
      </c>
      <c r="AF13" s="343">
        <f>SUMPRODUCT((③労働時間!$A$5:$A$195=作業体系表!$B13)*(③労働時間!$B$5:$B$195="10月中旬")*(③労働時間!$J$5:$J$195))</f>
        <v>0</v>
      </c>
      <c r="AG13" s="343">
        <f>SUMPRODUCT((③労働時間!$A$5:$A$195=作業体系表!$B13)*(③労働時間!$B$5:$B$195="10月下旬")*(③労働時間!$J$5:$J$195))</f>
        <v>0</v>
      </c>
      <c r="AH13" s="343">
        <f>SUMPRODUCT((③労働時間!$A$5:$A$195=作業体系表!$B13)*(③労働時間!$B$5:$B$195="11月上旬")*(③労働時間!$J$5:$J$195))</f>
        <v>0</v>
      </c>
      <c r="AI13" s="343">
        <f>SUMPRODUCT((③労働時間!$A$5:$A$195=作業体系表!$B13)*(③労働時間!$B$5:$B$195="11月中旬")*(③労働時間!$J$5:$J$195))</f>
        <v>0</v>
      </c>
      <c r="AJ13" s="343">
        <f>SUMPRODUCT((③労働時間!$A$5:$A$195=作業体系表!$B13)*(③労働時間!$B$5:$B$195="11月下旬")*(③労働時間!$J$5:$J$195))</f>
        <v>0</v>
      </c>
      <c r="AK13" s="343">
        <f>SUMPRODUCT((③労働時間!$A$5:$A$195=作業体系表!$B13)*(③労働時間!$B$5:$B$195="12月上旬")*(③労働時間!$J$5:$J$195))</f>
        <v>0</v>
      </c>
      <c r="AL13" s="343">
        <f>SUMPRODUCT((③労働時間!$A$5:$A$195=作業体系表!$B13)*(③労働時間!$B$5:$B$195="12月中旬")*(③労働時間!$J$5:$J$195))</f>
        <v>0</v>
      </c>
      <c r="AM13" s="345">
        <f>SUMPRODUCT((③労働時間!$A$5:$A$195=作業体系表!$B13)*(③労働時間!$B$5:$B$195="12月下旬")*(③労働時間!$J$5:$J$195))</f>
        <v>0</v>
      </c>
      <c r="AN13" s="346">
        <f t="shared" si="0"/>
        <v>29.98</v>
      </c>
    </row>
    <row r="14" spans="2:44" ht="15" customHeight="1">
      <c r="B14" s="784" t="str">
        <f>①技術体系!A13</f>
        <v>摘果、摘葉、芽かぎ</v>
      </c>
      <c r="C14" s="785"/>
      <c r="D14" s="343">
        <f>SUMPRODUCT((③労働時間!$A$5:$A$195=作業体系表!$B14)*(③労働時間!$B$5:$B$195="1月上旬")*(③労働時間!$J$5:$J$195))</f>
        <v>0</v>
      </c>
      <c r="E14" s="343">
        <f>SUMPRODUCT((③労働時間!$A$5:$A$195=作業体系表!$B14)*(③労働時間!$B$5:$B$195="1月中旬")*(③労働時間!$J$5:$J$195))</f>
        <v>0</v>
      </c>
      <c r="F14" s="343">
        <f>SUMPRODUCT((③労働時間!$A$5:$A$195=作業体系表!$B14)*(③労働時間!$B$5:$B$195="1月下旬")*(③労働時間!$J$5:$J$195))</f>
        <v>0</v>
      </c>
      <c r="G14" s="343">
        <f>SUMPRODUCT((③労働時間!$A$5:$A$195=作業体系表!$B14)*(③労働時間!$B$5:$B$195="2月上旬")*(③労働時間!$J$5:$J$195))</f>
        <v>0</v>
      </c>
      <c r="H14" s="343">
        <f>SUMPRODUCT((③労働時間!$A$5:$A$195=作業体系表!$B14)*(③労働時間!$B$5:$B$195="2月中旬")*(③労働時間!$J$5:$J$195))</f>
        <v>0</v>
      </c>
      <c r="I14" s="343">
        <f>SUMPRODUCT((③労働時間!$A$5:$A$195=作業体系表!$B14)*(③労働時間!$B$5:$B$195="2月下旬")*(③労働時間!$J$5:$J$195))</f>
        <v>0</v>
      </c>
      <c r="J14" s="343">
        <f>SUMPRODUCT((③労働時間!$A$5:$A$195=作業体系表!$B14)*(③労働時間!$B$5:$B$195="3月上旬")*(③労働時間!$J$5:$J$195))</f>
        <v>0</v>
      </c>
      <c r="K14" s="343">
        <f>SUMPRODUCT((③労働時間!$A$5:$A$195=作業体系表!$B14)*(③労働時間!$B$5:$B$195="3月中旬")*(③労働時間!$J$5:$J$195))</f>
        <v>0</v>
      </c>
      <c r="L14" s="343">
        <f>SUMPRODUCT((③労働時間!$A$5:$A$195=作業体系表!$B14)*(③労働時間!$B$5:$B$195="3月下旬")*(③労働時間!$J$5:$J$195))</f>
        <v>0</v>
      </c>
      <c r="M14" s="343">
        <f>SUMPRODUCT((③労働時間!$A$5:$A$195=作業体系表!$B14)*(③労働時間!$B$5:$B$195="4月上旬")*(③労働時間!$J$5:$J$195))</f>
        <v>0</v>
      </c>
      <c r="N14" s="343">
        <f>SUMPRODUCT((③労働時間!$A$5:$A$195=作業体系表!$B14)*(③労働時間!$B$5:$B$195="4月中旬")*(③労働時間!$J$5:$J$195))</f>
        <v>0</v>
      </c>
      <c r="O14" s="343">
        <f>SUMPRODUCT((③労働時間!$A$5:$A$195=作業体系表!$B14)*(③労働時間!$B$5:$B$195="4月下旬")*(③労働時間!$J$5:$J$195))</f>
        <v>0</v>
      </c>
      <c r="P14" s="344">
        <f>SUMPRODUCT((③労働時間!$A$5:$A$195=作業体系表!$B14)*(③労働時間!$B$5:$B$195="5月上旬")*(③労働時間!$J$5:$J$195))</f>
        <v>20.61</v>
      </c>
      <c r="Q14" s="343">
        <f>SUMPRODUCT((③労働時間!$A$5:$A$195=作業体系表!$B14)*(③労働時間!$B$5:$B$195="5月中旬")*(③労働時間!$J$5:$J$195))</f>
        <v>51.53</v>
      </c>
      <c r="R14" s="343">
        <f>SUMPRODUCT((③労働時間!$A$5:$A$195=作業体系表!$B14)*(③労働時間!$B$5:$B$195="5月下旬")*(③労働時間!$J$5:$J$195))</f>
        <v>24.43</v>
      </c>
      <c r="S14" s="343">
        <f>SUMPRODUCT((③労働時間!$A$5:$A$195=作業体系表!$B14)*(③労働時間!$B$5:$B$195="6月上旬")*(③労働時間!$J$5:$J$195))</f>
        <v>0</v>
      </c>
      <c r="T14" s="343">
        <f>SUMPRODUCT((③労働時間!$A$5:$A$195=作業体系表!$B14)*(③労働時間!$B$5:$B$195="6月中旬")*(③労働時間!$J$5:$J$195))</f>
        <v>0</v>
      </c>
      <c r="U14" s="343">
        <f>SUMPRODUCT((③労働時間!$A$5:$A$195=作業体系表!$B14)*(③労働時間!$B$5:$B$195="6月下旬")*(③労働時間!$J$5:$J$195))</f>
        <v>0</v>
      </c>
      <c r="V14" s="343">
        <f>SUMPRODUCT((③労働時間!$A$5:$A$195=作業体系表!$B14)*(③労働時間!$B$5:$B$195="7月上旬")*(③労働時間!$J$5:$J$195))</f>
        <v>0</v>
      </c>
      <c r="W14" s="343">
        <f>SUMPRODUCT((③労働時間!$A$5:$A$195=作業体系表!$B14)*(③労働時間!$B$5:$B$195="7月中旬")*(③労働時間!$J$5:$J$195))</f>
        <v>0</v>
      </c>
      <c r="X14" s="343">
        <f>SUMPRODUCT((③労働時間!$A$5:$A$195=作業体系表!$B14)*(③労働時間!$B$5:$B$195="7月下旬")*(③労働時間!$J$5:$J$195))</f>
        <v>0</v>
      </c>
      <c r="Y14" s="343">
        <f>SUMPRODUCT((③労働時間!$A$5:$A$195=作業体系表!$B14)*(③労働時間!$B$5:$B$195="8月上旬")*(③労働時間!$J$5:$J$195))</f>
        <v>0</v>
      </c>
      <c r="Z14" s="343">
        <f>SUMPRODUCT((③労働時間!$A$5:$A$195=作業体系表!$B14)*(③労働時間!$B$5:$B$195="8月中旬")*(③労働時間!$J$5:$J$195))</f>
        <v>6.87</v>
      </c>
      <c r="AA14" s="343">
        <f>SUMPRODUCT((③労働時間!$A$5:$A$195=作業体系表!$B14)*(③労働時間!$B$5:$B$195="8月下旬")*(③労働時間!$J$5:$J$195))</f>
        <v>6.87</v>
      </c>
      <c r="AB14" s="344">
        <f>SUMPRODUCT((③労働時間!$A$5:$A$195=作業体系表!$B14)*(③労働時間!$B$5:$B$195="9月上旬")*(③労働時間!$J$5:$J$195))</f>
        <v>6.87</v>
      </c>
      <c r="AC14" s="343">
        <f>SUMPRODUCT((③労働時間!$A$5:$A$195=作業体系表!$B14)*(③労働時間!$B$5:$B$195="9月中旬")*(③労働時間!$J$5:$J$195))</f>
        <v>6.87</v>
      </c>
      <c r="AD14" s="343">
        <f>SUMPRODUCT((③労働時間!$A$5:$A$195=作業体系表!$B14)*(③労働時間!$B$5:$B$195="9月下旬")*(③労働時間!$J$5:$J$195))</f>
        <v>0</v>
      </c>
      <c r="AE14" s="343">
        <f>SUMPRODUCT((③労働時間!$A$5:$A$195=作業体系表!$B14)*(③労働時間!$B$5:$B$195="10月上旬")*(③労働時間!$J$5:$J$195))</f>
        <v>0</v>
      </c>
      <c r="AF14" s="343">
        <f>SUMPRODUCT((③労働時間!$A$5:$A$195=作業体系表!$B14)*(③労働時間!$B$5:$B$195="10月中旬")*(③労働時間!$J$5:$J$195))</f>
        <v>0</v>
      </c>
      <c r="AG14" s="343">
        <f>SUMPRODUCT((③労働時間!$A$5:$A$195=作業体系表!$B14)*(③労働時間!$B$5:$B$195="10月下旬")*(③労働時間!$J$5:$J$195))</f>
        <v>0</v>
      </c>
      <c r="AH14" s="343">
        <f>SUMPRODUCT((③労働時間!$A$5:$A$195=作業体系表!$B14)*(③労働時間!$B$5:$B$195="11月上旬")*(③労働時間!$J$5:$J$195))</f>
        <v>0</v>
      </c>
      <c r="AI14" s="343">
        <f>SUMPRODUCT((③労働時間!$A$5:$A$195=作業体系表!$B14)*(③労働時間!$B$5:$B$195="11月中旬")*(③労働時間!$J$5:$J$195))</f>
        <v>0</v>
      </c>
      <c r="AJ14" s="343">
        <f>SUMPRODUCT((③労働時間!$A$5:$A$195=作業体系表!$B14)*(③労働時間!$B$5:$B$195="11月下旬")*(③労働時間!$J$5:$J$195))</f>
        <v>0</v>
      </c>
      <c r="AK14" s="343">
        <f>SUMPRODUCT((③労働時間!$A$5:$A$195=作業体系表!$B14)*(③労働時間!$B$5:$B$195="12月上旬")*(③労働時間!$J$5:$J$195))</f>
        <v>0</v>
      </c>
      <c r="AL14" s="343">
        <f>SUMPRODUCT((③労働時間!$A$5:$A$195=作業体系表!$B14)*(③労働時間!$B$5:$B$195="12月中旬")*(③労働時間!$J$5:$J$195))</f>
        <v>0</v>
      </c>
      <c r="AM14" s="345">
        <f>SUMPRODUCT((③労働時間!$A$5:$A$195=作業体系表!$B14)*(③労働時間!$B$5:$B$195="12月下旬")*(③労働時間!$J$5:$J$195))</f>
        <v>0</v>
      </c>
      <c r="AN14" s="346">
        <f t="shared" si="0"/>
        <v>124.05000000000001</v>
      </c>
    </row>
    <row r="15" spans="2:44" ht="15" customHeight="1">
      <c r="B15" s="784" t="str">
        <f>①技術体系!A11</f>
        <v>誘引</v>
      </c>
      <c r="C15" s="785"/>
      <c r="D15" s="343">
        <f>SUMPRODUCT((③労働時間!$A$5:$A$195=作業体系表!$B15)*(③労働時間!$B$5:$B$195="1月上旬")*(③労働時間!$J$5:$J$195))</f>
        <v>0</v>
      </c>
      <c r="E15" s="343">
        <f>SUMPRODUCT((③労働時間!$A$5:$A$195=作業体系表!$B15)*(③労働時間!$B$5:$B$195="1月中旬")*(③労働時間!$J$5:$J$195))</f>
        <v>0</v>
      </c>
      <c r="F15" s="343">
        <f>SUMPRODUCT((③労働時間!$A$5:$A$195=作業体系表!$B15)*(③労働時間!$B$5:$B$195="1月下旬")*(③労働時間!$J$5:$J$195))</f>
        <v>0</v>
      </c>
      <c r="G15" s="343">
        <f>SUMPRODUCT((③労働時間!$A$5:$A$195=作業体系表!$B15)*(③労働時間!$B$5:$B$195="2月上旬")*(③労働時間!$J$5:$J$195))</f>
        <v>0</v>
      </c>
      <c r="H15" s="343">
        <f>SUMPRODUCT((③労働時間!$A$5:$A$195=作業体系表!$B15)*(③労働時間!$B$5:$B$195="2月中旬")*(③労働時間!$J$5:$J$195))</f>
        <v>0</v>
      </c>
      <c r="I15" s="343">
        <f>SUMPRODUCT((③労働時間!$A$5:$A$195=作業体系表!$B15)*(③労働時間!$B$5:$B$195="2月下旬")*(③労働時間!$J$5:$J$195))</f>
        <v>0</v>
      </c>
      <c r="J15" s="343">
        <f>SUMPRODUCT((③労働時間!$A$5:$A$195=作業体系表!$B15)*(③労働時間!$B$5:$B$195="3月上旬")*(③労働時間!$J$5:$J$195))</f>
        <v>0</v>
      </c>
      <c r="K15" s="343">
        <f>SUMPRODUCT((③労働時間!$A$5:$A$195=作業体系表!$B15)*(③労働時間!$B$5:$B$195="3月中旬")*(③労働時間!$J$5:$J$195))</f>
        <v>0</v>
      </c>
      <c r="L15" s="343">
        <f>SUMPRODUCT((③労働時間!$A$5:$A$195=作業体系表!$B15)*(③労働時間!$B$5:$B$195="3月下旬")*(③労働時間!$J$5:$J$195))</f>
        <v>0</v>
      </c>
      <c r="M15" s="343">
        <f>SUMPRODUCT((③労働時間!$A$5:$A$195=作業体系表!$B15)*(③労働時間!$B$5:$B$195="4月上旬")*(③労働時間!$J$5:$J$195))</f>
        <v>0</v>
      </c>
      <c r="N15" s="343">
        <f>SUMPRODUCT((③労働時間!$A$5:$A$195=作業体系表!$B15)*(③労働時間!$B$5:$B$195="4月中旬")*(③労働時間!$J$5:$J$195))</f>
        <v>0</v>
      </c>
      <c r="O15" s="343">
        <f>SUMPRODUCT((③労働時間!$A$5:$A$195=作業体系表!$B15)*(③労働時間!$B$5:$B$195="4月下旬")*(③労働時間!$J$5:$J$195))</f>
        <v>12.02</v>
      </c>
      <c r="P15" s="344">
        <f>SUMPRODUCT((③労働時間!$A$5:$A$195=作業体系表!$B15)*(③労働時間!$B$5:$B$195="5月上旬")*(③労働時間!$J$5:$J$195))</f>
        <v>36.64</v>
      </c>
      <c r="Q15" s="343">
        <f>SUMPRODUCT((③労働時間!$A$5:$A$195=作業体系表!$B15)*(③労働時間!$B$5:$B$195="5月中旬")*(③労働時間!$J$5:$J$195))</f>
        <v>13.74</v>
      </c>
      <c r="R15" s="343">
        <f>SUMPRODUCT((③労働時間!$A$5:$A$195=作業体系表!$B15)*(③労働時間!$B$5:$B$195="5月下旬")*(③労働時間!$J$5:$J$195))</f>
        <v>22.9</v>
      </c>
      <c r="S15" s="343">
        <f>SUMPRODUCT((③労働時間!$A$5:$A$195=作業体系表!$B15)*(③労働時間!$B$5:$B$195="6月上旬")*(③労働時間!$J$5:$J$195))</f>
        <v>22.9</v>
      </c>
      <c r="T15" s="343">
        <f>SUMPRODUCT((③労働時間!$A$5:$A$195=作業体系表!$B15)*(③労働時間!$B$5:$B$195="6月中旬")*(③労働時間!$J$5:$J$195))</f>
        <v>0</v>
      </c>
      <c r="U15" s="343">
        <f>SUMPRODUCT((③労働時間!$A$5:$A$195=作業体系表!$B15)*(③労働時間!$B$5:$B$195="6月下旬")*(③労働時間!$J$5:$J$195))</f>
        <v>0</v>
      </c>
      <c r="V15" s="343">
        <f>SUMPRODUCT((③労働時間!$A$5:$A$195=作業体系表!$B15)*(③労働時間!$B$5:$B$195="7月上旬")*(③労働時間!$J$5:$J$195))</f>
        <v>0</v>
      </c>
      <c r="W15" s="343">
        <f>SUMPRODUCT((③労働時間!$A$5:$A$195=作業体系表!$B15)*(③労働時間!$B$5:$B$195="7月中旬")*(③労働時間!$J$5:$J$195))</f>
        <v>0</v>
      </c>
      <c r="X15" s="343">
        <f>SUMPRODUCT((③労働時間!$A$5:$A$195=作業体系表!$B15)*(③労働時間!$B$5:$B$195="7月下旬")*(③労働時間!$J$5:$J$195))</f>
        <v>9.16</v>
      </c>
      <c r="Y15" s="343">
        <f>SUMPRODUCT((③労働時間!$A$5:$A$195=作業体系表!$B15)*(③労働時間!$B$5:$B$195="8月上旬")*(③労働時間!$J$5:$J$195))</f>
        <v>13.74</v>
      </c>
      <c r="Z15" s="343">
        <f>SUMPRODUCT((③労働時間!$A$5:$A$195=作業体系表!$B15)*(③労働時間!$B$5:$B$195="8月中旬")*(③労働時間!$J$5:$J$195))</f>
        <v>6.87</v>
      </c>
      <c r="AA15" s="343">
        <f>SUMPRODUCT((③労働時間!$A$5:$A$195=作業体系表!$B15)*(③労働時間!$B$5:$B$195="8月下旬")*(③労働時間!$J$5:$J$195))</f>
        <v>6.87</v>
      </c>
      <c r="AB15" s="344">
        <f>SUMPRODUCT((③労働時間!$A$5:$A$195=作業体系表!$B15)*(③労働時間!$B$5:$B$195="9月上旬")*(③労働時間!$J$5:$J$195))</f>
        <v>6.87</v>
      </c>
      <c r="AC15" s="343">
        <f>SUMPRODUCT((③労働時間!$A$5:$A$195=作業体系表!$B15)*(③労働時間!$B$5:$B$195="9月中旬")*(③労働時間!$J$5:$J$195))</f>
        <v>27.48</v>
      </c>
      <c r="AD15" s="343">
        <f>SUMPRODUCT((③労働時間!$A$5:$A$195=作業体系表!$B15)*(③労働時間!$B$5:$B$195="9月下旬")*(③労働時間!$J$5:$J$195))</f>
        <v>0</v>
      </c>
      <c r="AE15" s="343">
        <f>SUMPRODUCT((③労働時間!$A$5:$A$195=作業体系表!$B15)*(③労働時間!$B$5:$B$195="10月上旬")*(③労働時間!$J$5:$J$195))</f>
        <v>0</v>
      </c>
      <c r="AF15" s="343">
        <f>SUMPRODUCT((③労働時間!$A$5:$A$195=作業体系表!$B15)*(③労働時間!$B$5:$B$195="10月中旬")*(③労働時間!$J$5:$J$195))</f>
        <v>0</v>
      </c>
      <c r="AG15" s="343">
        <f>SUMPRODUCT((③労働時間!$A$5:$A$195=作業体系表!$B15)*(③労働時間!$B$5:$B$195="10月下旬")*(③労働時間!$J$5:$J$195))</f>
        <v>0</v>
      </c>
      <c r="AH15" s="343">
        <f>SUMPRODUCT((③労働時間!$A$5:$A$195=作業体系表!$B15)*(③労働時間!$B$5:$B$195="11月上旬")*(③労働時間!$J$5:$J$195))</f>
        <v>0</v>
      </c>
      <c r="AI15" s="343">
        <f>SUMPRODUCT((③労働時間!$A$5:$A$195=作業体系表!$B15)*(③労働時間!$B$5:$B$195="11月中旬")*(③労働時間!$J$5:$J$195))</f>
        <v>0</v>
      </c>
      <c r="AJ15" s="343">
        <f>SUMPRODUCT((③労働時間!$A$5:$A$195=作業体系表!$B15)*(③労働時間!$B$5:$B$195="11月下旬")*(③労働時間!$J$5:$J$195))</f>
        <v>0</v>
      </c>
      <c r="AK15" s="343">
        <f>SUMPRODUCT((③労働時間!$A$5:$A$195=作業体系表!$B15)*(③労働時間!$B$5:$B$195="12月上旬")*(③労働時間!$J$5:$J$195))</f>
        <v>0</v>
      </c>
      <c r="AL15" s="343">
        <f>SUMPRODUCT((③労働時間!$A$5:$A$195=作業体系表!$B15)*(③労働時間!$B$5:$B$195="12月中旬")*(③労働時間!$J$5:$J$195))</f>
        <v>0</v>
      </c>
      <c r="AM15" s="345">
        <f>SUMPRODUCT((③労働時間!$A$5:$A$195=作業体系表!$B15)*(③労働時間!$B$5:$B$195="12月下旬")*(③労働時間!$J$5:$J$195))</f>
        <v>0</v>
      </c>
      <c r="AN15" s="346">
        <f t="shared" si="0"/>
        <v>179.19</v>
      </c>
    </row>
    <row r="16" spans="2:44" ht="15" customHeight="1">
      <c r="B16" s="784" t="str">
        <f>①技術体系!A12</f>
        <v>交配</v>
      </c>
      <c r="C16" s="785"/>
      <c r="D16" s="343">
        <f>SUMPRODUCT((③労働時間!$A$5:$A$195=作業体系表!$B16)*(③労働時間!$B$5:$B$195="1月上旬")*(③労働時間!$J$5:$J$195))</f>
        <v>0</v>
      </c>
      <c r="E16" s="343">
        <f>SUMPRODUCT((③労働時間!$A$5:$A$195=作業体系表!$B16)*(③労働時間!$B$5:$B$195="1月中旬")*(③労働時間!$J$5:$J$195))</f>
        <v>0</v>
      </c>
      <c r="F16" s="343">
        <f>SUMPRODUCT((③労働時間!$A$5:$A$195=作業体系表!$B16)*(③労働時間!$B$5:$B$195="1月下旬")*(③労働時間!$J$5:$J$195))</f>
        <v>0</v>
      </c>
      <c r="G16" s="343">
        <f>SUMPRODUCT((③労働時間!$A$5:$A$195=作業体系表!$B16)*(③労働時間!$B$5:$B$195="2月上旬")*(③労働時間!$J$5:$J$195))</f>
        <v>0</v>
      </c>
      <c r="H16" s="343">
        <f>SUMPRODUCT((③労働時間!$A$5:$A$195=作業体系表!$B16)*(③労働時間!$B$5:$B$195="2月中旬")*(③労働時間!$J$5:$J$195))</f>
        <v>0</v>
      </c>
      <c r="I16" s="343">
        <f>SUMPRODUCT((③労働時間!$A$5:$A$195=作業体系表!$B16)*(③労働時間!$B$5:$B$195="2月下旬")*(③労働時間!$J$5:$J$195))</f>
        <v>0</v>
      </c>
      <c r="J16" s="343">
        <f>SUMPRODUCT((③労働時間!$A$5:$A$195=作業体系表!$B16)*(③労働時間!$B$5:$B$195="3月上旬")*(③労働時間!$J$5:$J$195))</f>
        <v>0</v>
      </c>
      <c r="K16" s="343">
        <f>SUMPRODUCT((③労働時間!$A$5:$A$195=作業体系表!$B16)*(③労働時間!$B$5:$B$195="3月中旬")*(③労働時間!$J$5:$J$195))</f>
        <v>0</v>
      </c>
      <c r="L16" s="343">
        <f>SUMPRODUCT((③労働時間!$A$5:$A$195=作業体系表!$B16)*(③労働時間!$B$5:$B$195="3月下旬")*(③労働時間!$J$5:$J$195))</f>
        <v>0</v>
      </c>
      <c r="M16" s="343">
        <f>SUMPRODUCT((③労働時間!$A$5:$A$195=作業体系表!$B16)*(③労働時間!$B$5:$B$195="4月上旬")*(③労働時間!$J$5:$J$195))</f>
        <v>0</v>
      </c>
      <c r="N16" s="343">
        <f>SUMPRODUCT((③労働時間!$A$5:$A$195=作業体系表!$B16)*(③労働時間!$B$5:$B$195="4月中旬")*(③労働時間!$J$5:$J$195))</f>
        <v>0</v>
      </c>
      <c r="O16" s="343">
        <f>SUMPRODUCT((③労働時間!$A$5:$A$195=作業体系表!$B16)*(③労働時間!$B$5:$B$195="4月下旬")*(③労働時間!$J$5:$J$195))</f>
        <v>0</v>
      </c>
      <c r="P16" s="344">
        <f>SUMPRODUCT((③労働時間!$A$5:$A$195=作業体系表!$B16)*(③労働時間!$B$5:$B$195="5月上旬")*(③労働時間!$J$5:$J$195))</f>
        <v>4</v>
      </c>
      <c r="Q16" s="343">
        <f>SUMPRODUCT((③労働時間!$A$5:$A$195=作業体系表!$B16)*(③労働時間!$B$5:$B$195="5月中旬")*(③労働時間!$J$5:$J$195))</f>
        <v>9</v>
      </c>
      <c r="R16" s="343">
        <f>SUMPRODUCT((③労働時間!$A$5:$A$195=作業体系表!$B16)*(③労働時間!$B$5:$B$195="5月下旬")*(③労働時間!$J$5:$J$195))</f>
        <v>5</v>
      </c>
      <c r="S16" s="343">
        <f>SUMPRODUCT((③労働時間!$A$5:$A$195=作業体系表!$B16)*(③労働時間!$B$5:$B$195="6月上旬")*(③労働時間!$J$5:$J$195))</f>
        <v>7</v>
      </c>
      <c r="T16" s="343">
        <f>SUMPRODUCT((③労働時間!$A$5:$A$195=作業体系表!$B16)*(③労働時間!$B$5:$B$195="6月中旬")*(③労働時間!$J$5:$J$195))</f>
        <v>0</v>
      </c>
      <c r="U16" s="343">
        <f>SUMPRODUCT((③労働時間!$A$5:$A$195=作業体系表!$B16)*(③労働時間!$B$5:$B$195="6月下旬")*(③労働時間!$J$5:$J$195))</f>
        <v>0</v>
      </c>
      <c r="V16" s="343">
        <f>SUMPRODUCT((③労働時間!$A$5:$A$195=作業体系表!$B16)*(③労働時間!$B$5:$B$195="7月上旬")*(③労働時間!$J$5:$J$195))</f>
        <v>0</v>
      </c>
      <c r="W16" s="343">
        <f>SUMPRODUCT((③労働時間!$A$5:$A$195=作業体系表!$B16)*(③労働時間!$B$5:$B$195="7月中旬")*(③労働時間!$J$5:$J$195))</f>
        <v>0</v>
      </c>
      <c r="X16" s="343">
        <f>SUMPRODUCT((③労働時間!$A$5:$A$195=作業体系表!$B16)*(③労働時間!$B$5:$B$195="7月下旬")*(③労働時間!$J$5:$J$195))</f>
        <v>0</v>
      </c>
      <c r="Y16" s="343">
        <f>SUMPRODUCT((③労働時間!$A$5:$A$195=作業体系表!$B16)*(③労働時間!$B$5:$B$195="8月上旬")*(③労働時間!$J$5:$J$195))</f>
        <v>8</v>
      </c>
      <c r="Z16" s="343">
        <f>SUMPRODUCT((③労働時間!$A$5:$A$195=作業体系表!$B16)*(③労働時間!$B$5:$B$195="8月中旬")*(③労働時間!$J$5:$J$195))</f>
        <v>1.5</v>
      </c>
      <c r="AA16" s="343">
        <f>SUMPRODUCT((③労働時間!$A$5:$A$195=作業体系表!$B16)*(③労働時間!$B$5:$B$195="8月下旬")*(③労働時間!$J$5:$J$195))</f>
        <v>1.5</v>
      </c>
      <c r="AB16" s="344">
        <f>SUMPRODUCT((③労働時間!$A$5:$A$195=作業体系表!$B16)*(③労働時間!$B$5:$B$195="9月上旬")*(③労働時間!$J$5:$J$195))</f>
        <v>4.5</v>
      </c>
      <c r="AC16" s="343">
        <f>SUMPRODUCT((③労働時間!$A$5:$A$195=作業体系表!$B16)*(③労働時間!$B$5:$B$195="9月中旬")*(③労働時間!$J$5:$J$195))</f>
        <v>0.5</v>
      </c>
      <c r="AD16" s="343">
        <f>SUMPRODUCT((③労働時間!$A$5:$A$195=作業体系表!$B16)*(③労働時間!$B$5:$B$195="9月下旬")*(③労働時間!$J$5:$J$195))</f>
        <v>0</v>
      </c>
      <c r="AE16" s="343">
        <f>SUMPRODUCT((③労働時間!$A$5:$A$195=作業体系表!$B16)*(③労働時間!$B$5:$B$195="10月上旬")*(③労働時間!$J$5:$J$195))</f>
        <v>0</v>
      </c>
      <c r="AF16" s="343">
        <f>SUMPRODUCT((③労働時間!$A$5:$A$195=作業体系表!$B16)*(③労働時間!$B$5:$B$195="10月中旬")*(③労働時間!$J$5:$J$195))</f>
        <v>0</v>
      </c>
      <c r="AG16" s="343">
        <f>SUMPRODUCT((③労働時間!$A$5:$A$195=作業体系表!$B16)*(③労働時間!$B$5:$B$195="10月下旬")*(③労働時間!$J$5:$J$195))</f>
        <v>0</v>
      </c>
      <c r="AH16" s="343">
        <f>SUMPRODUCT((③労働時間!$A$5:$A$195=作業体系表!$B16)*(③労働時間!$B$5:$B$195="11月上旬")*(③労働時間!$J$5:$J$195))</f>
        <v>0</v>
      </c>
      <c r="AI16" s="343">
        <f>SUMPRODUCT((③労働時間!$A$5:$A$195=作業体系表!$B16)*(③労働時間!$B$5:$B$195="11月中旬")*(③労働時間!$J$5:$J$195))</f>
        <v>0</v>
      </c>
      <c r="AJ16" s="343">
        <f>SUMPRODUCT((③労働時間!$A$5:$A$195=作業体系表!$B16)*(③労働時間!$B$5:$B$195="11月下旬")*(③労働時間!$J$5:$J$195))</f>
        <v>0</v>
      </c>
      <c r="AK16" s="343">
        <f>SUMPRODUCT((③労働時間!$A$5:$A$195=作業体系表!$B16)*(③労働時間!$B$5:$B$195="12月上旬")*(③労働時間!$J$5:$J$195))</f>
        <v>0</v>
      </c>
      <c r="AL16" s="343">
        <f>SUMPRODUCT((③労働時間!$A$5:$A$195=作業体系表!$B16)*(③労働時間!$B$5:$B$195="12月中旬")*(③労働時間!$J$5:$J$195))</f>
        <v>0</v>
      </c>
      <c r="AM16" s="345">
        <f>SUMPRODUCT((③労働時間!$A$5:$A$195=作業体系表!$B16)*(③労働時間!$B$5:$B$195="12月下旬")*(③労働時間!$J$5:$J$195))</f>
        <v>0</v>
      </c>
      <c r="AN16" s="346">
        <f t="shared" si="0"/>
        <v>41</v>
      </c>
    </row>
    <row r="17" spans="2:40" ht="15" customHeight="1">
      <c r="B17" s="784" t="str">
        <f>①技術体系!A14</f>
        <v>防除</v>
      </c>
      <c r="C17" s="785"/>
      <c r="D17" s="343">
        <f>SUMPRODUCT((③労働時間!$A$5:$A$195=作業体系表!$B17)*(③労働時間!$B$5:$B$195="1月上旬")*(③労働時間!$J$5:$J$195))</f>
        <v>0</v>
      </c>
      <c r="E17" s="343">
        <f>SUMPRODUCT((③労働時間!$A$5:$A$195=作業体系表!$B17)*(③労働時間!$B$5:$B$195="1月中旬")*(③労働時間!$J$5:$J$195))</f>
        <v>0</v>
      </c>
      <c r="F17" s="343">
        <f>SUMPRODUCT((③労働時間!$A$5:$A$195=作業体系表!$B17)*(③労働時間!$B$5:$B$195="1月下旬")*(③労働時間!$J$5:$J$195))</f>
        <v>0</v>
      </c>
      <c r="G17" s="343">
        <f>SUMPRODUCT((③労働時間!$A$5:$A$195=作業体系表!$B17)*(③労働時間!$B$5:$B$195="2月上旬")*(③労働時間!$J$5:$J$195))</f>
        <v>0</v>
      </c>
      <c r="H17" s="343">
        <f>SUMPRODUCT((③労働時間!$A$5:$A$195=作業体系表!$B17)*(③労働時間!$B$5:$B$195="2月中旬")*(③労働時間!$J$5:$J$195))</f>
        <v>0</v>
      </c>
      <c r="I17" s="343">
        <f>SUMPRODUCT((③労働時間!$A$5:$A$195=作業体系表!$B17)*(③労働時間!$B$5:$B$195="2月下旬")*(③労働時間!$J$5:$J$195))</f>
        <v>0</v>
      </c>
      <c r="J17" s="343">
        <f>SUMPRODUCT((③労働時間!$A$5:$A$195=作業体系表!$B17)*(③労働時間!$B$5:$B$195="3月上旬")*(③労働時間!$J$5:$J$195))</f>
        <v>0</v>
      </c>
      <c r="K17" s="343">
        <f>SUMPRODUCT((③労働時間!$A$5:$A$195=作業体系表!$B17)*(③労働時間!$B$5:$B$195="3月中旬")*(③労働時間!$J$5:$J$195))</f>
        <v>0</v>
      </c>
      <c r="L17" s="343">
        <f>SUMPRODUCT((③労働時間!$A$5:$A$195=作業体系表!$B17)*(③労働時間!$B$5:$B$195="3月下旬")*(③労働時間!$J$5:$J$195))</f>
        <v>0</v>
      </c>
      <c r="M17" s="343">
        <f>SUMPRODUCT((③労働時間!$A$5:$A$195=作業体系表!$B17)*(③労働時間!$B$5:$B$195="4月上旬")*(③労働時間!$J$5:$J$195))</f>
        <v>0</v>
      </c>
      <c r="N17" s="343">
        <f>SUMPRODUCT((③労働時間!$A$5:$A$195=作業体系表!$B17)*(③労働時間!$B$5:$B$195="4月中旬")*(③労働時間!$J$5:$J$195))</f>
        <v>4.58</v>
      </c>
      <c r="O17" s="343">
        <f>SUMPRODUCT((③労働時間!$A$5:$A$195=作業体系表!$B17)*(③労働時間!$B$5:$B$195="4月下旬")*(③労働時間!$J$5:$J$195))</f>
        <v>1.72</v>
      </c>
      <c r="P17" s="344">
        <f>SUMPRODUCT((③労働時間!$A$5:$A$195=作業体系表!$B17)*(③労働時間!$B$5:$B$195="5月上旬")*(③労働時間!$J$5:$J$195))</f>
        <v>0</v>
      </c>
      <c r="Q17" s="343">
        <f>SUMPRODUCT((③労働時間!$A$5:$A$195=作業体系表!$B17)*(③労働時間!$B$5:$B$195="5月中旬")*(③労働時間!$J$5:$J$195))</f>
        <v>0</v>
      </c>
      <c r="R17" s="343">
        <f>SUMPRODUCT((③労働時間!$A$5:$A$195=作業体系表!$B17)*(③労働時間!$B$5:$B$195="5月下旬")*(③労働時間!$J$5:$J$195))</f>
        <v>0</v>
      </c>
      <c r="S17" s="343">
        <f>SUMPRODUCT((③労働時間!$A$5:$A$195=作業体系表!$B17)*(③労働時間!$B$5:$B$195="6月上旬")*(③労働時間!$J$5:$J$195))</f>
        <v>0</v>
      </c>
      <c r="T17" s="343">
        <f>SUMPRODUCT((③労働時間!$A$5:$A$195=作業体系表!$B17)*(③労働時間!$B$5:$B$195="6月中旬")*(③労働時間!$J$5:$J$195))</f>
        <v>1.1499999999999999</v>
      </c>
      <c r="U17" s="343">
        <f>SUMPRODUCT((③労働時間!$A$5:$A$195=作業体系表!$B17)*(③労働時間!$B$5:$B$195="6月下旬")*(③労働時間!$J$5:$J$195))</f>
        <v>1.1499999999999999</v>
      </c>
      <c r="V17" s="343">
        <f>SUMPRODUCT((③労働時間!$A$5:$A$195=作業体系表!$B17)*(③労働時間!$B$5:$B$195="7月上旬")*(③労働時間!$J$5:$J$195))</f>
        <v>1.1499999999999999</v>
      </c>
      <c r="W17" s="343">
        <f>SUMPRODUCT((③労働時間!$A$5:$A$195=作業体系表!$B17)*(③労働時間!$B$5:$B$195="7月中旬")*(③労働時間!$J$5:$J$195))</f>
        <v>0</v>
      </c>
      <c r="X17" s="343">
        <f>SUMPRODUCT((③労働時間!$A$5:$A$195=作業体系表!$B17)*(③労働時間!$B$5:$B$195="7月下旬")*(③労働時間!$J$5:$J$195))</f>
        <v>7.4499999999999993</v>
      </c>
      <c r="Y17" s="343">
        <f>SUMPRODUCT((③労働時間!$A$5:$A$195=作業体系表!$B17)*(③労働時間!$B$5:$B$195="8月上旬")*(③労働時間!$J$5:$J$195))</f>
        <v>0</v>
      </c>
      <c r="Z17" s="343">
        <f>SUMPRODUCT((③労働時間!$A$5:$A$195=作業体系表!$B17)*(③労働時間!$B$5:$B$195="8月中旬")*(③労働時間!$J$5:$J$195))</f>
        <v>1.1499999999999999</v>
      </c>
      <c r="AA17" s="343">
        <f>SUMPRODUCT((③労働時間!$A$5:$A$195=作業体系表!$B17)*(③労働時間!$B$5:$B$195="8月下旬")*(③労働時間!$J$5:$J$195))</f>
        <v>0</v>
      </c>
      <c r="AB17" s="344">
        <f>SUMPRODUCT((③労働時間!$A$5:$A$195=作業体系表!$B17)*(③労働時間!$B$5:$B$195="9月上旬")*(③労働時間!$J$5:$J$195))</f>
        <v>1.1499999999999999</v>
      </c>
      <c r="AC17" s="343">
        <f>SUMPRODUCT((③労働時間!$A$5:$A$195=作業体系表!$B17)*(③労働時間!$B$5:$B$195="9月中旬")*(③労働時間!$J$5:$J$195))</f>
        <v>0</v>
      </c>
      <c r="AD17" s="343">
        <f>SUMPRODUCT((③労働時間!$A$5:$A$195=作業体系表!$B17)*(③労働時間!$B$5:$B$195="9月下旬")*(③労働時間!$J$5:$J$195))</f>
        <v>0</v>
      </c>
      <c r="AE17" s="343">
        <f>SUMPRODUCT((③労働時間!$A$5:$A$195=作業体系表!$B17)*(③労働時間!$B$5:$B$195="10月上旬")*(③労働時間!$J$5:$J$195))</f>
        <v>0</v>
      </c>
      <c r="AF17" s="343">
        <f>SUMPRODUCT((③労働時間!$A$5:$A$195=作業体系表!$B17)*(③労働時間!$B$5:$B$195="10月中旬")*(③労働時間!$J$5:$J$195))</f>
        <v>0</v>
      </c>
      <c r="AG17" s="343">
        <f>SUMPRODUCT((③労働時間!$A$5:$A$195=作業体系表!$B17)*(③労働時間!$B$5:$B$195="10月下旬")*(③労働時間!$J$5:$J$195))</f>
        <v>0</v>
      </c>
      <c r="AH17" s="343">
        <f>SUMPRODUCT((③労働時間!$A$5:$A$195=作業体系表!$B17)*(③労働時間!$B$5:$B$195="11月上旬")*(③労働時間!$J$5:$J$195))</f>
        <v>0</v>
      </c>
      <c r="AI17" s="343">
        <f>SUMPRODUCT((③労働時間!$A$5:$A$195=作業体系表!$B17)*(③労働時間!$B$5:$B$195="11月中旬")*(③労働時間!$J$5:$J$195))</f>
        <v>4.58</v>
      </c>
      <c r="AJ17" s="343">
        <f>SUMPRODUCT((③労働時間!$A$5:$A$195=作業体系表!$B17)*(③労働時間!$B$5:$B$195="11月下旬")*(③労働時間!$J$5:$J$195))</f>
        <v>0</v>
      </c>
      <c r="AK17" s="343">
        <f>SUMPRODUCT((③労働時間!$A$5:$A$195=作業体系表!$B17)*(③労働時間!$B$5:$B$195="12月上旬")*(③労働時間!$J$5:$J$195))</f>
        <v>0</v>
      </c>
      <c r="AL17" s="343">
        <f>SUMPRODUCT((③労働時間!$A$5:$A$195=作業体系表!$B17)*(③労働時間!$B$5:$B$195="12月中旬")*(③労働時間!$J$5:$J$195))</f>
        <v>0</v>
      </c>
      <c r="AM17" s="345">
        <f>SUMPRODUCT((③労働時間!$A$5:$A$195=作業体系表!$B17)*(③労働時間!$B$5:$B$195="12月下旬")*(③労働時間!$J$5:$J$195))</f>
        <v>0</v>
      </c>
      <c r="AN17" s="346">
        <f t="shared" si="0"/>
        <v>24.08</v>
      </c>
    </row>
    <row r="18" spans="2:40" ht="15" customHeight="1">
      <c r="B18" s="784" t="str">
        <f>①技術体系!A15</f>
        <v>収穫</v>
      </c>
      <c r="C18" s="785"/>
      <c r="D18" s="343">
        <f>SUMPRODUCT((③労働時間!$A$5:$A$195=作業体系表!$B18)*(③労働時間!$B$5:$B$195="1月上旬")*(③労働時間!$J$5:$J$195))</f>
        <v>0</v>
      </c>
      <c r="E18" s="343">
        <f>SUMPRODUCT((③労働時間!$A$5:$A$195=作業体系表!$B18)*(③労働時間!$B$5:$B$195="1月中旬")*(③労働時間!$J$5:$J$195))</f>
        <v>0</v>
      </c>
      <c r="F18" s="343">
        <f>SUMPRODUCT((③労働時間!$A$5:$A$195=作業体系表!$B18)*(③労働時間!$B$5:$B$195="1月下旬")*(③労働時間!$J$5:$J$195))</f>
        <v>0</v>
      </c>
      <c r="G18" s="343">
        <f>SUMPRODUCT((③労働時間!$A$5:$A$195=作業体系表!$B18)*(③労働時間!$B$5:$B$195="2月上旬")*(③労働時間!$J$5:$J$195))</f>
        <v>0</v>
      </c>
      <c r="H18" s="343">
        <f>SUMPRODUCT((③労働時間!$A$5:$A$195=作業体系表!$B18)*(③労働時間!$B$5:$B$195="2月中旬")*(③労働時間!$J$5:$J$195))</f>
        <v>0</v>
      </c>
      <c r="I18" s="343">
        <f>SUMPRODUCT((③労働時間!$A$5:$A$195=作業体系表!$B18)*(③労働時間!$B$5:$B$195="2月下旬")*(③労働時間!$J$5:$J$195))</f>
        <v>0</v>
      </c>
      <c r="J18" s="343">
        <f>SUMPRODUCT((③労働時間!$A$5:$A$195=作業体系表!$B18)*(③労働時間!$B$5:$B$195="3月上旬")*(③労働時間!$J$5:$J$195))</f>
        <v>0</v>
      </c>
      <c r="K18" s="343">
        <f>SUMPRODUCT((③労働時間!$A$5:$A$195=作業体系表!$B18)*(③労働時間!$B$5:$B$195="3月中旬")*(③労働時間!$J$5:$J$195))</f>
        <v>0</v>
      </c>
      <c r="L18" s="343">
        <f>SUMPRODUCT((③労働時間!$A$5:$A$195=作業体系表!$B18)*(③労働時間!$B$5:$B$195="3月下旬")*(③労働時間!$J$5:$J$195))</f>
        <v>0</v>
      </c>
      <c r="M18" s="343">
        <f>SUMPRODUCT((③労働時間!$A$5:$A$195=作業体系表!$B18)*(③労働時間!$B$5:$B$195="4月上旬")*(③労働時間!$J$5:$J$195))</f>
        <v>0</v>
      </c>
      <c r="N18" s="343">
        <f>SUMPRODUCT((③労働時間!$A$5:$A$195=作業体系表!$B18)*(③労働時間!$B$5:$B$195="4月中旬")*(③労働時間!$J$5:$J$195))</f>
        <v>0</v>
      </c>
      <c r="O18" s="343">
        <f>SUMPRODUCT((③労働時間!$A$5:$A$195=作業体系表!$B18)*(③労働時間!$B$5:$B$195="4月下旬")*(③労働時間!$J$5:$J$195))</f>
        <v>0</v>
      </c>
      <c r="P18" s="344">
        <f>SUMPRODUCT((③労働時間!$A$5:$A$195=作業体系表!$B18)*(③労働時間!$B$5:$B$195="5月上旬")*(③労働時間!$J$5:$J$195))</f>
        <v>0</v>
      </c>
      <c r="Q18" s="343">
        <f>SUMPRODUCT((③労働時間!$A$5:$A$195=作業体系表!$B18)*(③労働時間!$B$5:$B$195="5月中旬")*(③労働時間!$J$5:$J$195))</f>
        <v>0</v>
      </c>
      <c r="R18" s="343">
        <f>SUMPRODUCT((③労働時間!$A$5:$A$195=作業体系表!$B18)*(③労働時間!$B$5:$B$195="5月下旬")*(③労働時間!$J$5:$J$195))</f>
        <v>0</v>
      </c>
      <c r="S18" s="343">
        <f>SUMPRODUCT((③労働時間!$A$5:$A$195=作業体系表!$B18)*(③労働時間!$B$5:$B$195="6月上旬")*(③労働時間!$J$5:$J$195))</f>
        <v>0</v>
      </c>
      <c r="T18" s="343">
        <f>SUMPRODUCT((③労働時間!$A$5:$A$195=作業体系表!$B18)*(③労働時間!$B$5:$B$195="6月中旬")*(③労働時間!$J$5:$J$195))</f>
        <v>0.76</v>
      </c>
      <c r="U18" s="343">
        <f>SUMPRODUCT((③労働時間!$A$5:$A$195=作業体系表!$B18)*(③労働時間!$B$5:$B$195="6月下旬")*(③労働時間!$J$5:$J$195))</f>
        <v>1.52</v>
      </c>
      <c r="V18" s="343">
        <f>SUMPRODUCT((③労働時間!$A$5:$A$195=作業体系表!$B18)*(③労働時間!$B$5:$B$195="7月上旬")*(③労働時間!$J$5:$J$195))</f>
        <v>19.46</v>
      </c>
      <c r="W18" s="343">
        <f>SUMPRODUCT((③労働時間!$A$5:$A$195=作業体系表!$B18)*(③労働時間!$B$5:$B$195="7月中旬")*(③労働時間!$J$5:$J$195))</f>
        <v>42.75</v>
      </c>
      <c r="X18" s="343">
        <f>SUMPRODUCT((③労働時間!$A$5:$A$195=作業体系表!$B18)*(③労働時間!$B$5:$B$195="7月下旬")*(③労働時間!$J$5:$J$195))</f>
        <v>2.29</v>
      </c>
      <c r="Y18" s="343">
        <f>SUMPRODUCT((③労働時間!$A$5:$A$195=作業体系表!$B18)*(③労働時間!$B$5:$B$195="8月上旬")*(③労働時間!$J$5:$J$195))</f>
        <v>0</v>
      </c>
      <c r="Z18" s="343">
        <f>SUMPRODUCT((③労働時間!$A$5:$A$195=作業体系表!$B18)*(③労働時間!$B$5:$B$195="8月中旬")*(③労働時間!$J$5:$J$195))</f>
        <v>0</v>
      </c>
      <c r="AA18" s="343">
        <f>SUMPRODUCT((③労働時間!$A$5:$A$195=作業体系表!$B18)*(③労働時間!$B$5:$B$195="8月下旬")*(③労働時間!$J$5:$J$195))</f>
        <v>0</v>
      </c>
      <c r="AB18" s="344">
        <f>SUMPRODUCT((③労働時間!$A$5:$A$195=作業体系表!$B18)*(③労働時間!$B$5:$B$195="9月上旬")*(③労働時間!$J$5:$J$195))</f>
        <v>11.45</v>
      </c>
      <c r="AC18" s="343">
        <f>SUMPRODUCT((③労働時間!$A$5:$A$195=作業体系表!$B18)*(③労働時間!$B$5:$B$195="9月中旬")*(③労働時間!$J$5:$J$195))</f>
        <v>9.16</v>
      </c>
      <c r="AD18" s="343">
        <f>SUMPRODUCT((③労働時間!$A$5:$A$195=作業体系表!$B18)*(③労働時間!$B$5:$B$195="9月下旬")*(③労働時間!$J$5:$J$195))</f>
        <v>13.74</v>
      </c>
      <c r="AE18" s="343">
        <f>SUMPRODUCT((③労働時間!$A$5:$A$195=作業体系表!$B18)*(③労働時間!$B$5:$B$195="10月上旬")*(③労働時間!$J$5:$J$195))</f>
        <v>18.32</v>
      </c>
      <c r="AF18" s="343">
        <f>SUMPRODUCT((③労働時間!$A$5:$A$195=作業体系表!$B18)*(③労働時間!$B$5:$B$195="10月中旬")*(③労働時間!$J$5:$J$195))</f>
        <v>13.74</v>
      </c>
      <c r="AG18" s="343">
        <f>SUMPRODUCT((③労働時間!$A$5:$A$195=作業体系表!$B18)*(③労働時間!$B$5:$B$195="10月下旬")*(③労働時間!$J$5:$J$195))</f>
        <v>13.74</v>
      </c>
      <c r="AH18" s="343">
        <f>SUMPRODUCT((③労働時間!$A$5:$A$195=作業体系表!$B18)*(③労働時間!$B$5:$B$195="11月上旬")*(③労働時間!$J$5:$J$195))</f>
        <v>4.97</v>
      </c>
      <c r="AI18" s="343">
        <f>SUMPRODUCT((③労働時間!$A$5:$A$195=作業体系表!$B18)*(③労働時間!$B$5:$B$195="11月中旬")*(③労働時間!$J$5:$J$195))</f>
        <v>2.29</v>
      </c>
      <c r="AJ18" s="343">
        <f>SUMPRODUCT((③労働時間!$A$5:$A$195=作業体系表!$B18)*(③労働時間!$B$5:$B$195="11月下旬")*(③労働時間!$J$5:$J$195))</f>
        <v>1.1499999999999999</v>
      </c>
      <c r="AK18" s="343">
        <f>SUMPRODUCT((③労働時間!$A$5:$A$195=作業体系表!$B18)*(③労働時間!$B$5:$B$195="12月上旬")*(③労働時間!$J$5:$J$195))</f>
        <v>0</v>
      </c>
      <c r="AL18" s="343">
        <f>SUMPRODUCT((③労働時間!$A$5:$A$195=作業体系表!$B18)*(③労働時間!$B$5:$B$195="12月中旬")*(③労働時間!$J$5:$J$195))</f>
        <v>0</v>
      </c>
      <c r="AM18" s="345">
        <f>SUMPRODUCT((③労働時間!$A$5:$A$195=作業体系表!$B18)*(③労働時間!$B$5:$B$195="12月下旬")*(③労働時間!$J$5:$J$195))</f>
        <v>0</v>
      </c>
      <c r="AN18" s="346">
        <f t="shared" si="0"/>
        <v>155.34000000000003</v>
      </c>
    </row>
    <row r="19" spans="2:40" ht="15" customHeight="1">
      <c r="B19" s="784" t="str">
        <f>①技術体系!A16</f>
        <v>選別</v>
      </c>
      <c r="C19" s="785"/>
      <c r="D19" s="343">
        <f>SUMPRODUCT((③労働時間!$A$5:$A$195=作業体系表!$B19)*(③労働時間!$B$5:$B$195="1月上旬")*(③労働時間!$J$5:$J$195))</f>
        <v>0</v>
      </c>
      <c r="E19" s="343">
        <f>SUMPRODUCT((③労働時間!$A$5:$A$195=作業体系表!$B19)*(③労働時間!$B$5:$B$195="1月中旬")*(③労働時間!$J$5:$J$195))</f>
        <v>0</v>
      </c>
      <c r="F19" s="343">
        <f>SUMPRODUCT((③労働時間!$A$5:$A$195=作業体系表!$B19)*(③労働時間!$B$5:$B$195="1月下旬")*(③労働時間!$J$5:$J$195))</f>
        <v>0</v>
      </c>
      <c r="G19" s="343">
        <f>SUMPRODUCT((③労働時間!$A$5:$A$195=作業体系表!$B19)*(③労働時間!$B$5:$B$195="2月上旬")*(③労働時間!$J$5:$J$195))</f>
        <v>0</v>
      </c>
      <c r="H19" s="343">
        <f>SUMPRODUCT((③労働時間!$A$5:$A$195=作業体系表!$B19)*(③労働時間!$B$5:$B$195="2月中旬")*(③労働時間!$J$5:$J$195))</f>
        <v>0</v>
      </c>
      <c r="I19" s="343">
        <f>SUMPRODUCT((③労働時間!$A$5:$A$195=作業体系表!$B19)*(③労働時間!$B$5:$B$195="2月下旬")*(③労働時間!$J$5:$J$195))</f>
        <v>0</v>
      </c>
      <c r="J19" s="343">
        <f>SUMPRODUCT((③労働時間!$A$5:$A$195=作業体系表!$B19)*(③労働時間!$B$5:$B$195="3月上旬")*(③労働時間!$J$5:$J$195))</f>
        <v>0</v>
      </c>
      <c r="K19" s="343">
        <f>SUMPRODUCT((③労働時間!$A$5:$A$195=作業体系表!$B19)*(③労働時間!$B$5:$B$195="3月中旬")*(③労働時間!$J$5:$J$195))</f>
        <v>0</v>
      </c>
      <c r="L19" s="343">
        <f>SUMPRODUCT((③労働時間!$A$5:$A$195=作業体系表!$B19)*(③労働時間!$B$5:$B$195="3月下旬")*(③労働時間!$J$5:$J$195))</f>
        <v>0</v>
      </c>
      <c r="M19" s="343">
        <f>SUMPRODUCT((③労働時間!$A$5:$A$195=作業体系表!$B19)*(③労働時間!$B$5:$B$195="4月上旬")*(③労働時間!$J$5:$J$195))</f>
        <v>0</v>
      </c>
      <c r="N19" s="343">
        <f>SUMPRODUCT((③労働時間!$A$5:$A$195=作業体系表!$B19)*(③労働時間!$B$5:$B$195="4月中旬")*(③労働時間!$J$5:$J$195))</f>
        <v>0</v>
      </c>
      <c r="O19" s="343">
        <f>SUMPRODUCT((③労働時間!$A$5:$A$195=作業体系表!$B19)*(③労働時間!$B$5:$B$195="4月下旬")*(③労働時間!$J$5:$J$195))</f>
        <v>0</v>
      </c>
      <c r="P19" s="344">
        <f>SUMPRODUCT((③労働時間!$A$5:$A$195=作業体系表!$B19)*(③労働時間!$B$5:$B$195="5月上旬")*(③労働時間!$J$5:$J$195))</f>
        <v>0</v>
      </c>
      <c r="Q19" s="343">
        <f>SUMPRODUCT((③労働時間!$A$5:$A$195=作業体系表!$B19)*(③労働時間!$B$5:$B$195="5月中旬")*(③労働時間!$J$5:$J$195))</f>
        <v>0</v>
      </c>
      <c r="R19" s="343">
        <f>SUMPRODUCT((③労働時間!$A$5:$A$195=作業体系表!$B19)*(③労働時間!$B$5:$B$195="5月下旬")*(③労働時間!$J$5:$J$195))</f>
        <v>0</v>
      </c>
      <c r="S19" s="343">
        <f>SUMPRODUCT((③労働時間!$A$5:$A$195=作業体系表!$B19)*(③労働時間!$B$5:$B$195="6月上旬")*(③労働時間!$J$5:$J$195))</f>
        <v>0</v>
      </c>
      <c r="T19" s="343">
        <f>SUMPRODUCT((③労働時間!$A$5:$A$195=作業体系表!$B19)*(③労働時間!$B$5:$B$195="6月中旬")*(③労働時間!$J$5:$J$195))</f>
        <v>0.54</v>
      </c>
      <c r="U19" s="343">
        <f>SUMPRODUCT((③労働時間!$A$5:$A$195=作業体系表!$B19)*(③労働時間!$B$5:$B$195="6月下旬")*(③労働時間!$J$5:$J$195))</f>
        <v>2.0699999999999998</v>
      </c>
      <c r="V19" s="343">
        <f>SUMPRODUCT((③労働時間!$A$5:$A$195=作業体系表!$B19)*(③労働時間!$B$5:$B$195="7月上旬")*(③労働時間!$J$5:$J$195))</f>
        <v>32.43</v>
      </c>
      <c r="W19" s="343">
        <f>SUMPRODUCT((③労働時間!$A$5:$A$195=作業体系表!$B19)*(③労働時間!$B$5:$B$195="7月中旬")*(③労働時間!$J$5:$J$195))</f>
        <v>71.25</v>
      </c>
      <c r="X19" s="343">
        <f>SUMPRODUCT((③労働時間!$A$5:$A$195=作業体系表!$B19)*(③労働時間!$B$5:$B$195="7月下旬")*(③労働時間!$J$5:$J$195))</f>
        <v>0</v>
      </c>
      <c r="Y19" s="343">
        <f>SUMPRODUCT((③労働時間!$A$5:$A$195=作業体系表!$B19)*(③労働時間!$B$5:$B$195="8月上旬")*(③労働時間!$J$5:$J$195))</f>
        <v>0</v>
      </c>
      <c r="Z19" s="343">
        <f>SUMPRODUCT((③労働時間!$A$5:$A$195=作業体系表!$B19)*(③労働時間!$B$5:$B$195="8月中旬")*(③労働時間!$J$5:$J$195))</f>
        <v>0</v>
      </c>
      <c r="AA19" s="343">
        <f>SUMPRODUCT((③労働時間!$A$5:$A$195=作業体系表!$B19)*(③労働時間!$B$5:$B$195="8月下旬")*(③労働時間!$J$5:$J$195))</f>
        <v>0</v>
      </c>
      <c r="AB19" s="344">
        <f>SUMPRODUCT((③労働時間!$A$5:$A$195=作業体系表!$B19)*(③労働時間!$B$5:$B$195="9月上旬")*(③労働時間!$J$5:$J$195))</f>
        <v>7.55</v>
      </c>
      <c r="AC19" s="343">
        <f>SUMPRODUCT((③労働時間!$A$5:$A$195=作業体系表!$B19)*(③労働時間!$B$5:$B$195="9月中旬")*(③労働時間!$J$5:$J$195))</f>
        <v>6.69</v>
      </c>
      <c r="AD19" s="343">
        <f>SUMPRODUCT((③労働時間!$A$5:$A$195=作業体系表!$B19)*(③労働時間!$B$5:$B$195="9月下旬")*(③労働時間!$J$5:$J$195))</f>
        <v>16.96</v>
      </c>
      <c r="AE19" s="343">
        <f>SUMPRODUCT((③労働時間!$A$5:$A$195=作業体系表!$B19)*(③労働時間!$B$5:$B$195="10月上旬")*(③労働時間!$J$5:$J$195))</f>
        <v>38.53</v>
      </c>
      <c r="AF19" s="343">
        <f>SUMPRODUCT((③労働時間!$A$5:$A$195=作業体系表!$B19)*(③労働時間!$B$5:$B$195="10月中旬")*(③労働時間!$J$5:$J$195))</f>
        <v>19.13</v>
      </c>
      <c r="AG19" s="343">
        <f>SUMPRODUCT((③労働時間!$A$5:$A$195=作業体系表!$B19)*(③労働時間!$B$5:$B$195="10月下旬")*(③労働時間!$J$5:$J$195))</f>
        <v>10.07</v>
      </c>
      <c r="AH19" s="343">
        <f>SUMPRODUCT((③労働時間!$A$5:$A$195=作業体系表!$B19)*(③労働時間!$B$5:$B$195="11月上旬")*(③労働時間!$J$5:$J$195))</f>
        <v>1.45</v>
      </c>
      <c r="AI19" s="343">
        <f>SUMPRODUCT((③労働時間!$A$5:$A$195=作業体系表!$B19)*(③労働時間!$B$5:$B$195="11月中旬")*(③労働時間!$J$5:$J$195))</f>
        <v>0</v>
      </c>
      <c r="AJ19" s="343">
        <f>SUMPRODUCT((③労働時間!$A$5:$A$195=作業体系表!$B19)*(③労働時間!$B$5:$B$195="11月下旬")*(③労働時間!$J$5:$J$195))</f>
        <v>0</v>
      </c>
      <c r="AK19" s="343">
        <f>SUMPRODUCT((③労働時間!$A$5:$A$195=作業体系表!$B19)*(③労働時間!$B$5:$B$195="12月上旬")*(③労働時間!$J$5:$J$195))</f>
        <v>0</v>
      </c>
      <c r="AL19" s="343">
        <f>SUMPRODUCT((③労働時間!$A$5:$A$195=作業体系表!$B19)*(③労働時間!$B$5:$B$195="12月中旬")*(③労働時間!$J$5:$J$195))</f>
        <v>0</v>
      </c>
      <c r="AM19" s="345">
        <f>SUMPRODUCT((③労働時間!$A$5:$A$195=作業体系表!$B19)*(③労働時間!$B$5:$B$195="12月下旬")*(③労働時間!$J$5:$J$195))</f>
        <v>0</v>
      </c>
      <c r="AN19" s="346">
        <f t="shared" si="0"/>
        <v>206.66999999999996</v>
      </c>
    </row>
    <row r="20" spans="2:40" ht="15" customHeight="1">
      <c r="B20" s="784" t="str">
        <f>①技術体系!A17</f>
        <v>出荷</v>
      </c>
      <c r="C20" s="785"/>
      <c r="D20" s="343">
        <f>SUMPRODUCT((③労働時間!$A$5:$A$195=作業体系表!$B20)*(③労働時間!$B$5:$B$195="1月上旬")*(③労働時間!$J$5:$J$195))</f>
        <v>0</v>
      </c>
      <c r="E20" s="343">
        <f>SUMPRODUCT((③労働時間!$A$5:$A$195=作業体系表!$B20)*(③労働時間!$B$5:$B$195="1月中旬")*(③労働時間!$J$5:$J$195))</f>
        <v>0</v>
      </c>
      <c r="F20" s="343">
        <f>SUMPRODUCT((③労働時間!$A$5:$A$195=作業体系表!$B20)*(③労働時間!$B$5:$B$195="1月下旬")*(③労働時間!$J$5:$J$195))</f>
        <v>0</v>
      </c>
      <c r="G20" s="343">
        <f>SUMPRODUCT((③労働時間!$A$5:$A$195=作業体系表!$B20)*(③労働時間!$B$5:$B$195="2月上旬")*(③労働時間!$J$5:$J$195))</f>
        <v>0</v>
      </c>
      <c r="H20" s="343">
        <f>SUMPRODUCT((③労働時間!$A$5:$A$195=作業体系表!$B20)*(③労働時間!$B$5:$B$195="2月中旬")*(③労働時間!$J$5:$J$195))</f>
        <v>0</v>
      </c>
      <c r="I20" s="343">
        <f>SUMPRODUCT((③労働時間!$A$5:$A$195=作業体系表!$B20)*(③労働時間!$B$5:$B$195="2月下旬")*(③労働時間!$J$5:$J$195))</f>
        <v>0</v>
      </c>
      <c r="J20" s="343">
        <f>SUMPRODUCT((③労働時間!$A$5:$A$195=作業体系表!$B20)*(③労働時間!$B$5:$B$195="3月上旬")*(③労働時間!$J$5:$J$195))</f>
        <v>0</v>
      </c>
      <c r="K20" s="343">
        <f>SUMPRODUCT((③労働時間!$A$5:$A$195=作業体系表!$B20)*(③労働時間!$B$5:$B$195="3月中旬")*(③労働時間!$J$5:$J$195))</f>
        <v>0</v>
      </c>
      <c r="L20" s="343">
        <f>SUMPRODUCT((③労働時間!$A$5:$A$195=作業体系表!$B20)*(③労働時間!$B$5:$B$195="3月下旬")*(③労働時間!$J$5:$J$195))</f>
        <v>0</v>
      </c>
      <c r="M20" s="343">
        <f>SUMPRODUCT((③労働時間!$A$5:$A$195=作業体系表!$B20)*(③労働時間!$B$5:$B$195="4月上旬")*(③労働時間!$J$5:$J$195))</f>
        <v>0</v>
      </c>
      <c r="N20" s="343">
        <f>SUMPRODUCT((③労働時間!$A$5:$A$195=作業体系表!$B20)*(③労働時間!$B$5:$B$195="4月中旬")*(③労働時間!$J$5:$J$195))</f>
        <v>0</v>
      </c>
      <c r="O20" s="343">
        <f>SUMPRODUCT((③労働時間!$A$5:$A$195=作業体系表!$B20)*(③労働時間!$B$5:$B$195="4月下旬")*(③労働時間!$J$5:$J$195))</f>
        <v>0</v>
      </c>
      <c r="P20" s="344">
        <f>SUMPRODUCT((③労働時間!$A$5:$A$195=作業体系表!$B20)*(③労働時間!$B$5:$B$195="5月上旬")*(③労働時間!$J$5:$J$195))</f>
        <v>0</v>
      </c>
      <c r="Q20" s="343">
        <f>SUMPRODUCT((③労働時間!$A$5:$A$195=作業体系表!$B20)*(③労働時間!$B$5:$B$195="5月中旬")*(③労働時間!$J$5:$J$195))</f>
        <v>0</v>
      </c>
      <c r="R20" s="343">
        <f>SUMPRODUCT((③労働時間!$A$5:$A$195=作業体系表!$B20)*(③労働時間!$B$5:$B$195="5月下旬")*(③労働時間!$J$5:$J$195))</f>
        <v>0</v>
      </c>
      <c r="S20" s="343">
        <f>SUMPRODUCT((③労働時間!$A$5:$A$195=作業体系表!$B20)*(③労働時間!$B$5:$B$195="6月上旬")*(③労働時間!$J$5:$J$195))</f>
        <v>0</v>
      </c>
      <c r="T20" s="343">
        <f>SUMPRODUCT((③労働時間!$A$5:$A$195=作業体系表!$B20)*(③労働時間!$B$5:$B$195="6月中旬")*(③労働時間!$J$5:$J$195))</f>
        <v>0.13</v>
      </c>
      <c r="U20" s="343">
        <f>SUMPRODUCT((③労働時間!$A$5:$A$195=作業体系表!$B20)*(③労働時間!$B$5:$B$195="6月下旬")*(③労働時間!$J$5:$J$195))</f>
        <v>1.55</v>
      </c>
      <c r="V20" s="343">
        <f>SUMPRODUCT((③労働時間!$A$5:$A$195=作業体系表!$B20)*(③労働時間!$B$5:$B$195="7月上旬")*(③労働時間!$J$5:$J$195))</f>
        <v>1.72</v>
      </c>
      <c r="W20" s="343">
        <f>SUMPRODUCT((③労働時間!$A$5:$A$195=作業体系表!$B20)*(③労働時間!$B$5:$B$195="7月中旬")*(③労働時間!$J$5:$J$195))</f>
        <v>3.81</v>
      </c>
      <c r="X20" s="343">
        <f>SUMPRODUCT((③労働時間!$A$5:$A$195=作業体系表!$B20)*(③労働時間!$B$5:$B$195="7月下旬")*(③労働時間!$J$5:$J$195))</f>
        <v>0</v>
      </c>
      <c r="Y20" s="343">
        <f>SUMPRODUCT((③労働時間!$A$5:$A$195=作業体系表!$B20)*(③労働時間!$B$5:$B$195="8月上旬")*(③労働時間!$J$5:$J$195))</f>
        <v>0</v>
      </c>
      <c r="Z20" s="343">
        <f>SUMPRODUCT((③労働時間!$A$5:$A$195=作業体系表!$B20)*(③労働時間!$B$5:$B$195="8月中旬")*(③労働時間!$J$5:$J$195))</f>
        <v>0</v>
      </c>
      <c r="AA20" s="343">
        <f>SUMPRODUCT((③労働時間!$A$5:$A$195=作業体系表!$B20)*(③労働時間!$B$5:$B$195="8月下旬")*(③労働時間!$J$5:$J$195))</f>
        <v>0</v>
      </c>
      <c r="AB20" s="344">
        <f>SUMPRODUCT((③労働時間!$A$5:$A$195=作業体系表!$B20)*(③労働時間!$B$5:$B$195="9月上旬")*(③労働時間!$J$5:$J$195))</f>
        <v>0.71</v>
      </c>
      <c r="AC20" s="343">
        <f>SUMPRODUCT((③労働時間!$A$5:$A$195=作業体系表!$B20)*(③労働時間!$B$5:$B$195="9月中旬")*(③労働時間!$J$5:$J$195))</f>
        <v>0.68</v>
      </c>
      <c r="AD20" s="343">
        <f>SUMPRODUCT((③労働時間!$A$5:$A$195=作業体系表!$B20)*(③労働時間!$B$5:$B$195="9月下旬")*(③労働時間!$J$5:$J$195))</f>
        <v>1.1299999999999999</v>
      </c>
      <c r="AE20" s="343">
        <f>SUMPRODUCT((③労働時間!$A$5:$A$195=作業体系表!$B20)*(③労働時間!$B$5:$B$195="10月上旬")*(③労働時間!$J$5:$J$195))</f>
        <v>2.37</v>
      </c>
      <c r="AF20" s="343">
        <f>SUMPRODUCT((③労働時間!$A$5:$A$195=作業体系表!$B20)*(③労働時間!$B$5:$B$195="10月中旬")*(③労働時間!$J$5:$J$195))</f>
        <v>1.19</v>
      </c>
      <c r="AG20" s="343">
        <f>SUMPRODUCT((③労働時間!$A$5:$A$195=作業体系表!$B20)*(③労働時間!$B$5:$B$195="10月下旬")*(③労働時間!$J$5:$J$195))</f>
        <v>0.78</v>
      </c>
      <c r="AH20" s="343">
        <f>SUMPRODUCT((③労働時間!$A$5:$A$195=作業体系表!$B20)*(③労働時間!$B$5:$B$195="11月上旬")*(③労働時間!$J$5:$J$195))</f>
        <v>0.28000000000000003</v>
      </c>
      <c r="AI20" s="343">
        <f>SUMPRODUCT((③労働時間!$A$5:$A$195=作業体系表!$B20)*(③労働時間!$B$5:$B$195="11月中旬")*(③労働時間!$J$5:$J$195))</f>
        <v>0</v>
      </c>
      <c r="AJ20" s="343">
        <f>SUMPRODUCT((③労働時間!$A$5:$A$195=作業体系表!$B20)*(③労働時間!$B$5:$B$195="11月下旬")*(③労働時間!$J$5:$J$195))</f>
        <v>0</v>
      </c>
      <c r="AK20" s="343">
        <f>SUMPRODUCT((③労働時間!$A$5:$A$195=作業体系表!$B20)*(③労働時間!$B$5:$B$195="12月上旬")*(③労働時間!$J$5:$J$195))</f>
        <v>0</v>
      </c>
      <c r="AL20" s="343">
        <f>SUMPRODUCT((③労働時間!$A$5:$A$195=作業体系表!$B20)*(③労働時間!$B$5:$B$195="12月中旬")*(③労働時間!$J$5:$J$195))</f>
        <v>0</v>
      </c>
      <c r="AM20" s="345">
        <f>SUMPRODUCT((③労働時間!$A$5:$A$195=作業体系表!$B20)*(③労働時間!$B$5:$B$195="12月下旬")*(③労働時間!$J$5:$J$195))</f>
        <v>0</v>
      </c>
      <c r="AN20" s="346">
        <f t="shared" si="0"/>
        <v>14.35</v>
      </c>
    </row>
    <row r="21" spans="2:40" ht="15" customHeight="1">
      <c r="B21" s="784" t="str">
        <f>①技術体系!A18</f>
        <v>後片付け</v>
      </c>
      <c r="C21" s="785"/>
      <c r="D21" s="343">
        <f>SUMPRODUCT((③労働時間!$A$5:$A$195=作業体系表!$B21)*(③労働時間!$B$5:$B$195="1月上旬")*(③労働時間!$J$5:$J$195))</f>
        <v>0</v>
      </c>
      <c r="E21" s="343">
        <f>SUMPRODUCT((③労働時間!$A$5:$A$195=作業体系表!$B21)*(③労働時間!$B$5:$B$195="1月中旬")*(③労働時間!$J$5:$J$195))</f>
        <v>0</v>
      </c>
      <c r="F21" s="343">
        <f>SUMPRODUCT((③労働時間!$A$5:$A$195=作業体系表!$B21)*(③労働時間!$B$5:$B$195="1月下旬")*(③労働時間!$J$5:$J$195))</f>
        <v>0</v>
      </c>
      <c r="G21" s="343">
        <f>SUMPRODUCT((③労働時間!$A$5:$A$195=作業体系表!$B21)*(③労働時間!$B$5:$B$195="2月上旬")*(③労働時間!$J$5:$J$195))</f>
        <v>0</v>
      </c>
      <c r="H21" s="343">
        <f>SUMPRODUCT((③労働時間!$A$5:$A$195=作業体系表!$B21)*(③労働時間!$B$5:$B$195="2月中旬")*(③労働時間!$J$5:$J$195))</f>
        <v>0</v>
      </c>
      <c r="I21" s="343">
        <f>SUMPRODUCT((③労働時間!$A$5:$A$195=作業体系表!$B21)*(③労働時間!$B$5:$B$195="2月下旬")*(③労働時間!$J$5:$J$195))</f>
        <v>0</v>
      </c>
      <c r="J21" s="343">
        <f>SUMPRODUCT((③労働時間!$A$5:$A$195=作業体系表!$B21)*(③労働時間!$B$5:$B$195="3月上旬")*(③労働時間!$J$5:$J$195))</f>
        <v>0</v>
      </c>
      <c r="K21" s="343">
        <f>SUMPRODUCT((③労働時間!$A$5:$A$195=作業体系表!$B21)*(③労働時間!$B$5:$B$195="3月中旬")*(③労働時間!$J$5:$J$195))</f>
        <v>0</v>
      </c>
      <c r="L21" s="343">
        <f>SUMPRODUCT((③労働時間!$A$5:$A$195=作業体系表!$B21)*(③労働時間!$B$5:$B$195="3月下旬")*(③労働時間!$J$5:$J$195))</f>
        <v>0</v>
      </c>
      <c r="M21" s="343">
        <f>SUMPRODUCT((③労働時間!$A$5:$A$195=作業体系表!$B21)*(③労働時間!$B$5:$B$195="4月上旬")*(③労働時間!$J$5:$J$195))</f>
        <v>0</v>
      </c>
      <c r="N21" s="343">
        <f>SUMPRODUCT((③労働時間!$A$5:$A$195=作業体系表!$B21)*(③労働時間!$B$5:$B$195="4月中旬")*(③労働時間!$J$5:$J$195))</f>
        <v>0</v>
      </c>
      <c r="O21" s="343">
        <f>SUMPRODUCT((③労働時間!$A$5:$A$195=作業体系表!$B21)*(③労働時間!$B$5:$B$195="4月下旬")*(③労働時間!$J$5:$J$195))</f>
        <v>0</v>
      </c>
      <c r="P21" s="344">
        <f>SUMPRODUCT((③労働時間!$A$5:$A$195=作業体系表!$B21)*(③労働時間!$B$5:$B$195="5月上旬")*(③労働時間!$J$5:$J$195))</f>
        <v>0</v>
      </c>
      <c r="Q21" s="343">
        <f>SUMPRODUCT((③労働時間!$A$5:$A$195=作業体系表!$B21)*(③労働時間!$B$5:$B$195="5月中旬")*(③労働時間!$J$5:$J$195))</f>
        <v>0</v>
      </c>
      <c r="R21" s="343">
        <f>SUMPRODUCT((③労働時間!$A$5:$A$195=作業体系表!$B21)*(③労働時間!$B$5:$B$195="5月下旬")*(③労働時間!$J$5:$J$195))</f>
        <v>0</v>
      </c>
      <c r="S21" s="343">
        <f>SUMPRODUCT((③労働時間!$A$5:$A$195=作業体系表!$B21)*(③労働時間!$B$5:$B$195="6月上旬")*(③労働時間!$J$5:$J$195))</f>
        <v>0</v>
      </c>
      <c r="T21" s="343">
        <f>SUMPRODUCT((③労働時間!$A$5:$A$195=作業体系表!$B21)*(③労働時間!$B$5:$B$195="6月中旬")*(③労働時間!$J$5:$J$195))</f>
        <v>0</v>
      </c>
      <c r="U21" s="343">
        <f>SUMPRODUCT((③労働時間!$A$5:$A$195=作業体系表!$B21)*(③労働時間!$B$5:$B$195="6月下旬")*(③労働時間!$J$5:$J$195))</f>
        <v>0</v>
      </c>
      <c r="V21" s="343">
        <f>SUMPRODUCT((③労働時間!$A$5:$A$195=作業体系表!$B21)*(③労働時間!$B$5:$B$195="7月上旬")*(③労働時間!$J$5:$J$195))</f>
        <v>0</v>
      </c>
      <c r="W21" s="343">
        <f>SUMPRODUCT((③労働時間!$A$5:$A$195=作業体系表!$B21)*(③労働時間!$B$5:$B$195="7月中旬")*(③労働時間!$J$5:$J$195))</f>
        <v>0</v>
      </c>
      <c r="X21" s="343">
        <f>SUMPRODUCT((③労働時間!$A$5:$A$195=作業体系表!$B21)*(③労働時間!$B$5:$B$195="7月下旬")*(③労働時間!$J$5:$J$195))</f>
        <v>27.48</v>
      </c>
      <c r="Y21" s="343">
        <f>SUMPRODUCT((③労働時間!$A$5:$A$195=作業体系表!$B21)*(③労働時間!$B$5:$B$195="8月上旬")*(③労働時間!$J$5:$J$195))</f>
        <v>0</v>
      </c>
      <c r="Z21" s="343">
        <f>SUMPRODUCT((③労働時間!$A$5:$A$195=作業体系表!$B21)*(③労働時間!$B$5:$B$195="8月中旬")*(③労働時間!$J$5:$J$195))</f>
        <v>0</v>
      </c>
      <c r="AA21" s="343">
        <f>SUMPRODUCT((③労働時間!$A$5:$A$195=作業体系表!$B21)*(③労働時間!$B$5:$B$195="8月下旬")*(③労働時間!$J$5:$J$195))</f>
        <v>0</v>
      </c>
      <c r="AB21" s="344">
        <f>SUMPRODUCT((③労働時間!$A$5:$A$195=作業体系表!$B21)*(③労働時間!$B$5:$B$195="9月上旬")*(③労働時間!$J$5:$J$195))</f>
        <v>0</v>
      </c>
      <c r="AC21" s="343">
        <f>SUMPRODUCT((③労働時間!$A$5:$A$195=作業体系表!$B21)*(③労働時間!$B$5:$B$195="9月中旬")*(③労働時間!$J$5:$J$195))</f>
        <v>0</v>
      </c>
      <c r="AD21" s="343">
        <f>SUMPRODUCT((③労働時間!$A$5:$A$195=作業体系表!$B21)*(③労働時間!$B$5:$B$195="9月下旬")*(③労働時間!$J$5:$J$195))</f>
        <v>0</v>
      </c>
      <c r="AE21" s="343">
        <f>SUMPRODUCT((③労働時間!$A$5:$A$195=作業体系表!$B21)*(③労働時間!$B$5:$B$195="10月上旬")*(③労働時間!$J$5:$J$195))</f>
        <v>0</v>
      </c>
      <c r="AF21" s="343">
        <f>SUMPRODUCT((③労働時間!$A$5:$A$195=作業体系表!$B21)*(③労働時間!$B$5:$B$195="10月中旬")*(③労働時間!$J$5:$J$195))</f>
        <v>0</v>
      </c>
      <c r="AG21" s="343">
        <f>SUMPRODUCT((③労働時間!$A$5:$A$195=作業体系表!$B21)*(③労働時間!$B$5:$B$195="10月下旬")*(③労働時間!$J$5:$J$195))</f>
        <v>0</v>
      </c>
      <c r="AH21" s="343">
        <f>SUMPRODUCT((③労働時間!$A$5:$A$195=作業体系表!$B21)*(③労働時間!$B$5:$B$195="11月上旬")*(③労働時間!$J$5:$J$195))</f>
        <v>0</v>
      </c>
      <c r="AI21" s="343">
        <f>SUMPRODUCT((③労働時間!$A$5:$A$195=作業体系表!$B21)*(③労働時間!$B$5:$B$195="11月中旬")*(③労働時間!$J$5:$J$195))</f>
        <v>0</v>
      </c>
      <c r="AJ21" s="343">
        <f>SUMPRODUCT((③労働時間!$A$5:$A$195=作業体系表!$B21)*(③労働時間!$B$5:$B$195="11月下旬")*(③労働時間!$J$5:$J$195))</f>
        <v>28.05</v>
      </c>
      <c r="AK21" s="343">
        <f>SUMPRODUCT((③労働時間!$A$5:$A$195=作業体系表!$B21)*(③労働時間!$B$5:$B$195="12月上旬")*(③労働時間!$J$5:$J$195))</f>
        <v>0</v>
      </c>
      <c r="AL21" s="343">
        <f>SUMPRODUCT((③労働時間!$A$5:$A$195=作業体系表!$B21)*(③労働時間!$B$5:$B$195="12月中旬")*(③労働時間!$J$5:$J$195))</f>
        <v>0</v>
      </c>
      <c r="AM21" s="345">
        <f>SUMPRODUCT((③労働時間!$A$5:$A$195=作業体系表!$B21)*(③労働時間!$B$5:$B$195="12月下旬")*(③労働時間!$J$5:$J$195))</f>
        <v>0</v>
      </c>
      <c r="AN21" s="346">
        <f t="shared" si="0"/>
        <v>55.53</v>
      </c>
    </row>
    <row r="22" spans="2:40" ht="15" customHeight="1">
      <c r="B22" s="784" t="str">
        <f>①技術体系!A19</f>
        <v>その他</v>
      </c>
      <c r="C22" s="785"/>
      <c r="D22" s="343">
        <f>SUMPRODUCT((③労働時間!$A$5:$A$195=作業体系表!$B22)*(③労働時間!$B$5:$B$195="1月上旬")*(③労働時間!$J$5:$J$195))</f>
        <v>0</v>
      </c>
      <c r="E22" s="343">
        <f>SUMPRODUCT((③労働時間!$A$5:$A$195=作業体系表!$B22)*(③労働時間!$B$5:$B$195="1月中旬")*(③労働時間!$J$5:$J$195))</f>
        <v>0</v>
      </c>
      <c r="F22" s="343">
        <f>SUMPRODUCT((③労働時間!$A$5:$A$195=作業体系表!$B22)*(③労働時間!$B$5:$B$195="1月下旬")*(③労働時間!$J$5:$J$195))</f>
        <v>0</v>
      </c>
      <c r="G22" s="343">
        <f>SUMPRODUCT((③労働時間!$A$5:$A$195=作業体系表!$B22)*(③労働時間!$B$5:$B$195="2月上旬")*(③労働時間!$J$5:$J$195))</f>
        <v>0</v>
      </c>
      <c r="H22" s="343">
        <f>SUMPRODUCT((③労働時間!$A$5:$A$195=作業体系表!$B22)*(③労働時間!$B$5:$B$195="2月中旬")*(③労働時間!$J$5:$J$195))</f>
        <v>0</v>
      </c>
      <c r="I22" s="343">
        <f>SUMPRODUCT((③労働時間!$A$5:$A$195=作業体系表!$B22)*(③労働時間!$B$5:$B$195="2月下旬")*(③労働時間!$J$5:$J$195))</f>
        <v>0</v>
      </c>
      <c r="J22" s="343">
        <f>SUMPRODUCT((③労働時間!$A$5:$A$195=作業体系表!$B22)*(③労働時間!$B$5:$B$195="3月上旬")*(③労働時間!$J$5:$J$195))</f>
        <v>0</v>
      </c>
      <c r="K22" s="343">
        <f>SUMPRODUCT((③労働時間!$A$5:$A$195=作業体系表!$B22)*(③労働時間!$B$5:$B$195="3月中旬")*(③労働時間!$J$5:$J$195))</f>
        <v>0</v>
      </c>
      <c r="L22" s="343">
        <f>SUMPRODUCT((③労働時間!$A$5:$A$195=作業体系表!$B22)*(③労働時間!$B$5:$B$195="3月下旬")*(③労働時間!$J$5:$J$195))</f>
        <v>0</v>
      </c>
      <c r="M22" s="343">
        <f>SUMPRODUCT((③労働時間!$A$5:$A$195=作業体系表!$B22)*(③労働時間!$B$5:$B$195="4月上旬")*(③労働時間!$J$5:$J$195))</f>
        <v>0</v>
      </c>
      <c r="N22" s="343">
        <f>SUMPRODUCT((③労働時間!$A$5:$A$195=作業体系表!$B22)*(③労働時間!$B$5:$B$195="4月中旬")*(③労働時間!$J$5:$J$195))</f>
        <v>0</v>
      </c>
      <c r="O22" s="343">
        <f>SUMPRODUCT((③労働時間!$A$5:$A$195=作業体系表!$B22)*(③労働時間!$B$5:$B$195="4月下旬")*(③労働時間!$J$5:$J$195))</f>
        <v>0</v>
      </c>
      <c r="P22" s="344">
        <f>SUMPRODUCT((③労働時間!$A$5:$A$195=作業体系表!$B22)*(③労働時間!$B$5:$B$195="5月上旬")*(③労働時間!$J$5:$J$195))</f>
        <v>0</v>
      </c>
      <c r="Q22" s="343">
        <f>SUMPRODUCT((③労働時間!$A$5:$A$195=作業体系表!$B22)*(③労働時間!$B$5:$B$195="5月中旬")*(③労働時間!$J$5:$J$195))</f>
        <v>0</v>
      </c>
      <c r="R22" s="343">
        <f>SUMPRODUCT((③労働時間!$A$5:$A$195=作業体系表!$B22)*(③労働時間!$B$5:$B$195="5月下旬")*(③労働時間!$J$5:$J$195))</f>
        <v>0</v>
      </c>
      <c r="S22" s="343">
        <f>SUMPRODUCT((③労働時間!$A$5:$A$195=作業体系表!$B22)*(③労働時間!$B$5:$B$195="6月上旬")*(③労働時間!$J$5:$J$195))</f>
        <v>0</v>
      </c>
      <c r="T22" s="343">
        <f>SUMPRODUCT((③労働時間!$A$5:$A$195=作業体系表!$B22)*(③労働時間!$B$5:$B$195="6月中旬")*(③労働時間!$J$5:$J$195))</f>
        <v>0</v>
      </c>
      <c r="U22" s="343">
        <f>SUMPRODUCT((③労働時間!$A$5:$A$195=作業体系表!$B22)*(③労働時間!$B$5:$B$195="6月下旬")*(③労働時間!$J$5:$J$195))</f>
        <v>0</v>
      </c>
      <c r="V22" s="343">
        <f>SUMPRODUCT((③労働時間!$A$5:$A$195=作業体系表!$B22)*(③労働時間!$B$5:$B$195="7月上旬")*(③労働時間!$J$5:$J$195))</f>
        <v>0</v>
      </c>
      <c r="W22" s="343">
        <f>SUMPRODUCT((③労働時間!$A$5:$A$195=作業体系表!$B22)*(③労働時間!$B$5:$B$195="7月中旬")*(③労働時間!$J$5:$J$195))</f>
        <v>0</v>
      </c>
      <c r="X22" s="343">
        <f>SUMPRODUCT((③労働時間!$A$5:$A$195=作業体系表!$B22)*(③労働時間!$B$5:$B$195="7月下旬")*(③労働時間!$J$5:$J$195))</f>
        <v>0</v>
      </c>
      <c r="Y22" s="343">
        <f>SUMPRODUCT((③労働時間!$A$5:$A$195=作業体系表!$B22)*(③労働時間!$B$5:$B$195="8月上旬")*(③労働時間!$J$5:$J$195))</f>
        <v>13</v>
      </c>
      <c r="Z22" s="343">
        <f>SUMPRODUCT((③労働時間!$A$5:$A$195=作業体系表!$B22)*(③労働時間!$B$5:$B$195="8月中旬")*(③労働時間!$J$5:$J$195))</f>
        <v>0</v>
      </c>
      <c r="AA22" s="343">
        <f>SUMPRODUCT((③労働時間!$A$5:$A$195=作業体系表!$B22)*(③労働時間!$B$5:$B$195="8月下旬")*(③労働時間!$J$5:$J$195))</f>
        <v>0</v>
      </c>
      <c r="AB22" s="344">
        <f>SUMPRODUCT((③労働時間!$A$5:$A$195=作業体系表!$B22)*(③労働時間!$B$5:$B$195="9月上旬")*(③労働時間!$J$5:$J$195))</f>
        <v>4</v>
      </c>
      <c r="AC22" s="343">
        <f>SUMPRODUCT((③労働時間!$A$5:$A$195=作業体系表!$B22)*(③労働時間!$B$5:$B$195="9月中旬")*(③労働時間!$J$5:$J$195))</f>
        <v>0</v>
      </c>
      <c r="AD22" s="343">
        <f>SUMPRODUCT((③労働時間!$A$5:$A$195=作業体系表!$B22)*(③労働時間!$B$5:$B$195="9月下旬")*(③労働時間!$J$5:$J$195))</f>
        <v>0</v>
      </c>
      <c r="AE22" s="343">
        <f>SUMPRODUCT((③労働時間!$A$5:$A$195=作業体系表!$B22)*(③労働時間!$B$5:$B$195="10月上旬")*(③労働時間!$J$5:$J$195))</f>
        <v>0</v>
      </c>
      <c r="AF22" s="343">
        <f>SUMPRODUCT((③労働時間!$A$5:$A$195=作業体系表!$B22)*(③労働時間!$B$5:$B$195="10月中旬")*(③労働時間!$J$5:$J$195))</f>
        <v>0</v>
      </c>
      <c r="AG22" s="343">
        <f>SUMPRODUCT((③労働時間!$A$5:$A$195=作業体系表!$B22)*(③労働時間!$B$5:$B$195="10月下旬")*(③労働時間!$J$5:$J$195))</f>
        <v>0</v>
      </c>
      <c r="AH22" s="343">
        <f>SUMPRODUCT((③労働時間!$A$5:$A$195=作業体系表!$B22)*(③労働時間!$B$5:$B$195="11月上旬")*(③労働時間!$J$5:$J$195))</f>
        <v>0</v>
      </c>
      <c r="AI22" s="343">
        <f>SUMPRODUCT((③労働時間!$A$5:$A$195=作業体系表!$B22)*(③労働時間!$B$5:$B$195="11月中旬")*(③労働時間!$J$5:$J$195))</f>
        <v>12</v>
      </c>
      <c r="AJ22" s="343">
        <f>SUMPRODUCT((③労働時間!$A$5:$A$195=作業体系表!$B22)*(③労働時間!$B$5:$B$195="11月下旬")*(③労働時間!$J$5:$J$195))</f>
        <v>0</v>
      </c>
      <c r="AK22" s="343">
        <f>SUMPRODUCT((③労働時間!$A$5:$A$195=作業体系表!$B22)*(③労働時間!$B$5:$B$195="12月上旬")*(③労働時間!$J$5:$J$195))</f>
        <v>8</v>
      </c>
      <c r="AL22" s="343">
        <f>SUMPRODUCT((③労働時間!$A$5:$A$195=作業体系表!$B22)*(③労働時間!$B$5:$B$195="12月中旬")*(③労働時間!$J$5:$J$195))</f>
        <v>0</v>
      </c>
      <c r="AM22" s="345">
        <f>SUMPRODUCT((③労働時間!$A$5:$A$195=作業体系表!$B22)*(③労働時間!$B$5:$B$195="12月下旬")*(③労働時間!$J$5:$J$195))</f>
        <v>0</v>
      </c>
      <c r="AN22" s="346">
        <f t="shared" si="0"/>
        <v>37</v>
      </c>
    </row>
    <row r="23" spans="2:40" ht="15" customHeight="1">
      <c r="B23" s="784">
        <f>①技術体系!A20</f>
        <v>0</v>
      </c>
      <c r="C23" s="785"/>
      <c r="D23" s="343">
        <f>SUMPRODUCT((③労働時間!$A$5:$A$195=作業体系表!$B23)*(③労働時間!$B$5:$B$195="1月上旬")*(③労働時間!$J$5:$J$195))</f>
        <v>0</v>
      </c>
      <c r="E23" s="343">
        <f>SUMPRODUCT((③労働時間!$A$5:$A$195=作業体系表!$B23)*(③労働時間!$B$5:$B$195="1月中旬")*(③労働時間!$J$5:$J$195))</f>
        <v>0</v>
      </c>
      <c r="F23" s="343">
        <f>SUMPRODUCT((③労働時間!$A$5:$A$195=作業体系表!$B23)*(③労働時間!$B$5:$B$195="1月下旬")*(③労働時間!$J$5:$J$195))</f>
        <v>0</v>
      </c>
      <c r="G23" s="343">
        <f>SUMPRODUCT((③労働時間!$A$5:$A$195=作業体系表!$B23)*(③労働時間!$B$5:$B$195="2月上旬")*(③労働時間!$J$5:$J$195))</f>
        <v>0</v>
      </c>
      <c r="H23" s="343">
        <f>SUMPRODUCT((③労働時間!$A$5:$A$195=作業体系表!$B23)*(③労働時間!$B$5:$B$195="2月中旬")*(③労働時間!$J$5:$J$195))</f>
        <v>0</v>
      </c>
      <c r="I23" s="343">
        <f>SUMPRODUCT((③労働時間!$A$5:$A$195=作業体系表!$B23)*(③労働時間!$B$5:$B$195="2月下旬")*(③労働時間!$J$5:$J$195))</f>
        <v>0</v>
      </c>
      <c r="J23" s="343">
        <f>SUMPRODUCT((③労働時間!$A$5:$A$195=作業体系表!$B23)*(③労働時間!$B$5:$B$195="3月上旬")*(③労働時間!$J$5:$J$195))</f>
        <v>0</v>
      </c>
      <c r="K23" s="343">
        <f>SUMPRODUCT((③労働時間!$A$5:$A$195=作業体系表!$B23)*(③労働時間!$B$5:$B$195="3月中旬")*(③労働時間!$J$5:$J$195))</f>
        <v>0</v>
      </c>
      <c r="L23" s="343">
        <f>SUMPRODUCT((③労働時間!$A$5:$A$195=作業体系表!$B23)*(③労働時間!$B$5:$B$195="3月下旬")*(③労働時間!$J$5:$J$195))</f>
        <v>0</v>
      </c>
      <c r="M23" s="343">
        <f>SUMPRODUCT((③労働時間!$A$5:$A$195=作業体系表!$B23)*(③労働時間!$B$5:$B$195="4月上旬")*(③労働時間!$J$5:$J$195))</f>
        <v>0</v>
      </c>
      <c r="N23" s="343">
        <f>SUMPRODUCT((③労働時間!$A$5:$A$195=作業体系表!$B23)*(③労働時間!$B$5:$B$195="4月中旬")*(③労働時間!$J$5:$J$195))</f>
        <v>0</v>
      </c>
      <c r="O23" s="343">
        <f>SUMPRODUCT((③労働時間!$A$5:$A$195=作業体系表!$B23)*(③労働時間!$B$5:$B$195="4月下旬")*(③労働時間!$J$5:$J$195))</f>
        <v>0</v>
      </c>
      <c r="P23" s="344">
        <f>SUMPRODUCT((③労働時間!$A$5:$A$195=作業体系表!$B23)*(③労働時間!$B$5:$B$195="5月上旬")*(③労働時間!$J$5:$J$195))</f>
        <v>0</v>
      </c>
      <c r="Q23" s="343">
        <f>SUMPRODUCT((③労働時間!$A$5:$A$195=作業体系表!$B23)*(③労働時間!$B$5:$B$195="5月中旬")*(③労働時間!$J$5:$J$195))</f>
        <v>0</v>
      </c>
      <c r="R23" s="343">
        <f>SUMPRODUCT((③労働時間!$A$5:$A$195=作業体系表!$B23)*(③労働時間!$B$5:$B$195="5月下旬")*(③労働時間!$J$5:$J$195))</f>
        <v>0</v>
      </c>
      <c r="S23" s="343">
        <f>SUMPRODUCT((③労働時間!$A$5:$A$195=作業体系表!$B23)*(③労働時間!$B$5:$B$195="6月上旬")*(③労働時間!$J$5:$J$195))</f>
        <v>0</v>
      </c>
      <c r="T23" s="343">
        <f>SUMPRODUCT((③労働時間!$A$5:$A$195=作業体系表!$B23)*(③労働時間!$B$5:$B$195="6月中旬")*(③労働時間!$J$5:$J$195))</f>
        <v>0</v>
      </c>
      <c r="U23" s="343">
        <f>SUMPRODUCT((③労働時間!$A$5:$A$195=作業体系表!$B23)*(③労働時間!$B$5:$B$195="6月下旬")*(③労働時間!$J$5:$J$195))</f>
        <v>0</v>
      </c>
      <c r="V23" s="343">
        <f>SUMPRODUCT((③労働時間!$A$5:$A$195=作業体系表!$B23)*(③労働時間!$B$5:$B$195="7月上旬")*(③労働時間!$J$5:$J$195))</f>
        <v>0</v>
      </c>
      <c r="W23" s="343">
        <f>SUMPRODUCT((③労働時間!$A$5:$A$195=作業体系表!$B23)*(③労働時間!$B$5:$B$195="7月中旬")*(③労働時間!$J$5:$J$195))</f>
        <v>0</v>
      </c>
      <c r="X23" s="343">
        <f>SUMPRODUCT((③労働時間!$A$5:$A$195=作業体系表!$B23)*(③労働時間!$B$5:$B$195="7月下旬")*(③労働時間!$J$5:$J$195))</f>
        <v>0</v>
      </c>
      <c r="Y23" s="343">
        <f>SUMPRODUCT((③労働時間!$A$5:$A$195=作業体系表!$B23)*(③労働時間!$B$5:$B$195="8月上旬")*(③労働時間!$J$5:$J$195))</f>
        <v>0</v>
      </c>
      <c r="Z23" s="343">
        <f>SUMPRODUCT((③労働時間!$A$5:$A$195=作業体系表!$B23)*(③労働時間!$B$5:$B$195="8月中旬")*(③労働時間!$J$5:$J$195))</f>
        <v>0</v>
      </c>
      <c r="AA23" s="343">
        <f>SUMPRODUCT((③労働時間!$A$5:$A$195=作業体系表!$B23)*(③労働時間!$B$5:$B$195="8月下旬")*(③労働時間!$J$5:$J$195))</f>
        <v>0</v>
      </c>
      <c r="AB23" s="344">
        <f>SUMPRODUCT((③労働時間!$A$5:$A$195=作業体系表!$B23)*(③労働時間!$B$5:$B$195="9月上旬")*(③労働時間!$J$5:$J$195))</f>
        <v>0</v>
      </c>
      <c r="AC23" s="343">
        <f>SUMPRODUCT((③労働時間!$A$5:$A$195=作業体系表!$B23)*(③労働時間!$B$5:$B$195="9月中旬")*(③労働時間!$J$5:$J$195))</f>
        <v>0</v>
      </c>
      <c r="AD23" s="343">
        <f>SUMPRODUCT((③労働時間!$A$5:$A$195=作業体系表!$B23)*(③労働時間!$B$5:$B$195="9月下旬")*(③労働時間!$J$5:$J$195))</f>
        <v>0</v>
      </c>
      <c r="AE23" s="343">
        <f>SUMPRODUCT((③労働時間!$A$5:$A$195=作業体系表!$B23)*(③労働時間!$B$5:$B$195="10月上旬")*(③労働時間!$J$5:$J$195))</f>
        <v>0</v>
      </c>
      <c r="AF23" s="343">
        <f>SUMPRODUCT((③労働時間!$A$5:$A$195=作業体系表!$B23)*(③労働時間!$B$5:$B$195="10月中旬")*(③労働時間!$J$5:$J$195))</f>
        <v>0</v>
      </c>
      <c r="AG23" s="343">
        <f>SUMPRODUCT((③労働時間!$A$5:$A$195=作業体系表!$B23)*(③労働時間!$B$5:$B$195="10月下旬")*(③労働時間!$J$5:$J$195))</f>
        <v>0</v>
      </c>
      <c r="AH23" s="343">
        <f>SUMPRODUCT((③労働時間!$A$5:$A$195=作業体系表!$B23)*(③労働時間!$B$5:$B$195="11月上旬")*(③労働時間!$J$5:$J$195))</f>
        <v>0</v>
      </c>
      <c r="AI23" s="343">
        <f>SUMPRODUCT((③労働時間!$A$5:$A$195=作業体系表!$B23)*(③労働時間!$B$5:$B$195="11月中旬")*(③労働時間!$J$5:$J$195))</f>
        <v>0</v>
      </c>
      <c r="AJ23" s="343">
        <f>SUMPRODUCT((③労働時間!$A$5:$A$195=作業体系表!$B23)*(③労働時間!$B$5:$B$195="11月下旬")*(③労働時間!$J$5:$J$195))</f>
        <v>0</v>
      </c>
      <c r="AK23" s="343">
        <f>SUMPRODUCT((③労働時間!$A$5:$A$195=作業体系表!$B23)*(③労働時間!$B$5:$B$195="12月上旬")*(③労働時間!$J$5:$J$195))</f>
        <v>0</v>
      </c>
      <c r="AL23" s="343">
        <f>SUMPRODUCT((③労働時間!$A$5:$A$195=作業体系表!$B23)*(③労働時間!$B$5:$B$195="12月中旬")*(③労働時間!$J$5:$J$195))</f>
        <v>0</v>
      </c>
      <c r="AM23" s="345">
        <f>SUMPRODUCT((③労働時間!$A$5:$A$195=作業体系表!$B23)*(③労働時間!$B$5:$B$195="12月下旬")*(③労働時間!$J$5:$J$195))</f>
        <v>0</v>
      </c>
      <c r="AN23" s="346">
        <f t="shared" si="0"/>
        <v>0</v>
      </c>
    </row>
    <row r="24" spans="2:40" ht="15" customHeight="1">
      <c r="B24" s="784">
        <f>①技術体系!A21</f>
        <v>0</v>
      </c>
      <c r="C24" s="785"/>
      <c r="D24" s="343">
        <f>SUMPRODUCT((③労働時間!$A$5:$A$195=作業体系表!$B24)*(③労働時間!$B$5:$B$195="1月上旬")*(③労働時間!$J$5:$J$195))</f>
        <v>0</v>
      </c>
      <c r="E24" s="343">
        <f>SUMPRODUCT((③労働時間!$A$5:$A$195=作業体系表!$B24)*(③労働時間!$B$5:$B$195="1月中旬")*(③労働時間!$J$5:$J$195))</f>
        <v>0</v>
      </c>
      <c r="F24" s="343">
        <f>SUMPRODUCT((③労働時間!$A$5:$A$195=作業体系表!$B24)*(③労働時間!$B$5:$B$195="1月下旬")*(③労働時間!$J$5:$J$195))</f>
        <v>0</v>
      </c>
      <c r="G24" s="343">
        <f>SUMPRODUCT((③労働時間!$A$5:$A$195=作業体系表!$B24)*(③労働時間!$B$5:$B$195="2月上旬")*(③労働時間!$J$5:$J$195))</f>
        <v>0</v>
      </c>
      <c r="H24" s="343">
        <f>SUMPRODUCT((③労働時間!$A$5:$A$195=作業体系表!$B24)*(③労働時間!$B$5:$B$195="2月中旬")*(③労働時間!$J$5:$J$195))</f>
        <v>0</v>
      </c>
      <c r="I24" s="343">
        <f>SUMPRODUCT((③労働時間!$A$5:$A$195=作業体系表!$B24)*(③労働時間!$B$5:$B$195="2月下旬")*(③労働時間!$J$5:$J$195))</f>
        <v>0</v>
      </c>
      <c r="J24" s="343">
        <f>SUMPRODUCT((③労働時間!$A$5:$A$195=作業体系表!$B24)*(③労働時間!$B$5:$B$195="3月上旬")*(③労働時間!$J$5:$J$195))</f>
        <v>0</v>
      </c>
      <c r="K24" s="343">
        <f>SUMPRODUCT((③労働時間!$A$5:$A$195=作業体系表!$B24)*(③労働時間!$B$5:$B$195="3月中旬")*(③労働時間!$J$5:$J$195))</f>
        <v>0</v>
      </c>
      <c r="L24" s="343">
        <f>SUMPRODUCT((③労働時間!$A$5:$A$195=作業体系表!$B24)*(③労働時間!$B$5:$B$195="3月下旬")*(③労働時間!$J$5:$J$195))</f>
        <v>0</v>
      </c>
      <c r="M24" s="343">
        <f>SUMPRODUCT((③労働時間!$A$5:$A$195=作業体系表!$B24)*(③労働時間!$B$5:$B$195="4月上旬")*(③労働時間!$J$5:$J$195))</f>
        <v>0</v>
      </c>
      <c r="N24" s="343">
        <f>SUMPRODUCT((③労働時間!$A$5:$A$195=作業体系表!$B24)*(③労働時間!$B$5:$B$195="4月中旬")*(③労働時間!$J$5:$J$195))</f>
        <v>0</v>
      </c>
      <c r="O24" s="343">
        <f>SUMPRODUCT((③労働時間!$A$5:$A$195=作業体系表!$B24)*(③労働時間!$B$5:$B$195="4月下旬")*(③労働時間!$J$5:$J$195))</f>
        <v>0</v>
      </c>
      <c r="P24" s="344">
        <f>SUMPRODUCT((③労働時間!$A$5:$A$195=作業体系表!$B24)*(③労働時間!$B$5:$B$195="5月上旬")*(③労働時間!$J$5:$J$195))</f>
        <v>0</v>
      </c>
      <c r="Q24" s="343">
        <f>SUMPRODUCT((③労働時間!$A$5:$A$195=作業体系表!$B24)*(③労働時間!$B$5:$B$195="5月中旬")*(③労働時間!$J$5:$J$195))</f>
        <v>0</v>
      </c>
      <c r="R24" s="343">
        <f>SUMPRODUCT((③労働時間!$A$5:$A$195=作業体系表!$B24)*(③労働時間!$B$5:$B$195="5月下旬")*(③労働時間!$J$5:$J$195))</f>
        <v>0</v>
      </c>
      <c r="S24" s="343">
        <f>SUMPRODUCT((③労働時間!$A$5:$A$195=作業体系表!$B24)*(③労働時間!$B$5:$B$195="6月上旬")*(③労働時間!$J$5:$J$195))</f>
        <v>0</v>
      </c>
      <c r="T24" s="343">
        <f>SUMPRODUCT((③労働時間!$A$5:$A$195=作業体系表!$B24)*(③労働時間!$B$5:$B$195="6月中旬")*(③労働時間!$J$5:$J$195))</f>
        <v>0</v>
      </c>
      <c r="U24" s="343">
        <f>SUMPRODUCT((③労働時間!$A$5:$A$195=作業体系表!$B24)*(③労働時間!$B$5:$B$195="6月下旬")*(③労働時間!$J$5:$J$195))</f>
        <v>0</v>
      </c>
      <c r="V24" s="343">
        <f>SUMPRODUCT((③労働時間!$A$5:$A$195=作業体系表!$B24)*(③労働時間!$B$5:$B$195="7月上旬")*(③労働時間!$J$5:$J$195))</f>
        <v>0</v>
      </c>
      <c r="W24" s="343">
        <f>SUMPRODUCT((③労働時間!$A$5:$A$195=作業体系表!$B24)*(③労働時間!$B$5:$B$195="7月中旬")*(③労働時間!$J$5:$J$195))</f>
        <v>0</v>
      </c>
      <c r="X24" s="343">
        <f>SUMPRODUCT((③労働時間!$A$5:$A$195=作業体系表!$B24)*(③労働時間!$B$5:$B$195="7月下旬")*(③労働時間!$J$5:$J$195))</f>
        <v>0</v>
      </c>
      <c r="Y24" s="343">
        <f>SUMPRODUCT((③労働時間!$A$5:$A$195=作業体系表!$B24)*(③労働時間!$B$5:$B$195="8月上旬")*(③労働時間!$J$5:$J$195))</f>
        <v>0</v>
      </c>
      <c r="Z24" s="343">
        <f>SUMPRODUCT((③労働時間!$A$5:$A$195=作業体系表!$B24)*(③労働時間!$B$5:$B$195="8月中旬")*(③労働時間!$J$5:$J$195))</f>
        <v>0</v>
      </c>
      <c r="AA24" s="343">
        <f>SUMPRODUCT((③労働時間!$A$5:$A$195=作業体系表!$B24)*(③労働時間!$B$5:$B$195="8月下旬")*(③労働時間!$J$5:$J$195))</f>
        <v>0</v>
      </c>
      <c r="AB24" s="344">
        <f>SUMPRODUCT((③労働時間!$A$5:$A$195=作業体系表!$B24)*(③労働時間!$B$5:$B$195="9月上旬")*(③労働時間!$J$5:$J$195))</f>
        <v>0</v>
      </c>
      <c r="AC24" s="343">
        <f>SUMPRODUCT((③労働時間!$A$5:$A$195=作業体系表!$B24)*(③労働時間!$B$5:$B$195="9月中旬")*(③労働時間!$J$5:$J$195))</f>
        <v>0</v>
      </c>
      <c r="AD24" s="343">
        <f>SUMPRODUCT((③労働時間!$A$5:$A$195=作業体系表!$B24)*(③労働時間!$B$5:$B$195="9月下旬")*(③労働時間!$J$5:$J$195))</f>
        <v>0</v>
      </c>
      <c r="AE24" s="343">
        <f>SUMPRODUCT((③労働時間!$A$5:$A$195=作業体系表!$B24)*(③労働時間!$B$5:$B$195="10月上旬")*(③労働時間!$J$5:$J$195))</f>
        <v>0</v>
      </c>
      <c r="AF24" s="343">
        <f>SUMPRODUCT((③労働時間!$A$5:$A$195=作業体系表!$B24)*(③労働時間!$B$5:$B$195="10月中旬")*(③労働時間!$J$5:$J$195))</f>
        <v>0</v>
      </c>
      <c r="AG24" s="343">
        <f>SUMPRODUCT((③労働時間!$A$5:$A$195=作業体系表!$B24)*(③労働時間!$B$5:$B$195="10月下旬")*(③労働時間!$J$5:$J$195))</f>
        <v>0</v>
      </c>
      <c r="AH24" s="343">
        <f>SUMPRODUCT((③労働時間!$A$5:$A$195=作業体系表!$B24)*(③労働時間!$B$5:$B$195="11月上旬")*(③労働時間!$J$5:$J$195))</f>
        <v>0</v>
      </c>
      <c r="AI24" s="343">
        <f>SUMPRODUCT((③労働時間!$A$5:$A$195=作業体系表!$B24)*(③労働時間!$B$5:$B$195="11月中旬")*(③労働時間!$J$5:$J$195))</f>
        <v>0</v>
      </c>
      <c r="AJ24" s="343">
        <f>SUMPRODUCT((③労働時間!$A$5:$A$195=作業体系表!$B24)*(③労働時間!$B$5:$B$195="11月下旬")*(③労働時間!$J$5:$J$195))</f>
        <v>0</v>
      </c>
      <c r="AK24" s="343">
        <f>SUMPRODUCT((③労働時間!$A$5:$A$195=作業体系表!$B24)*(③労働時間!$B$5:$B$195="12月上旬")*(③労働時間!$J$5:$J$195))</f>
        <v>0</v>
      </c>
      <c r="AL24" s="343">
        <f>SUMPRODUCT((③労働時間!$A$5:$A$195=作業体系表!$B24)*(③労働時間!$B$5:$B$195="12月中旬")*(③労働時間!$J$5:$J$195))</f>
        <v>0</v>
      </c>
      <c r="AM24" s="345">
        <f>SUMPRODUCT((③労働時間!$A$5:$A$195=作業体系表!$B24)*(③労働時間!$B$5:$B$195="12月下旬")*(③労働時間!$J$5:$J$195))</f>
        <v>0</v>
      </c>
      <c r="AN24" s="346">
        <f t="shared" si="0"/>
        <v>0</v>
      </c>
    </row>
    <row r="25" spans="2:40" ht="15" customHeight="1">
      <c r="B25" s="784">
        <f>①技術体系!A22</f>
        <v>0</v>
      </c>
      <c r="C25" s="785"/>
      <c r="D25" s="343">
        <f>SUMPRODUCT((③労働時間!$A$5:$A$195=作業体系表!$B25)*(③労働時間!$B$5:$B$195="1月上旬")*(③労働時間!$J$5:$J$195))</f>
        <v>0</v>
      </c>
      <c r="E25" s="343">
        <f>SUMPRODUCT((③労働時間!$A$5:$A$195=作業体系表!$B25)*(③労働時間!$B$5:$B$195="1月中旬")*(③労働時間!$J$5:$J$195))</f>
        <v>0</v>
      </c>
      <c r="F25" s="343">
        <f>SUMPRODUCT((③労働時間!$A$5:$A$195=作業体系表!$B25)*(③労働時間!$B$5:$B$195="1月下旬")*(③労働時間!$J$5:$J$195))</f>
        <v>0</v>
      </c>
      <c r="G25" s="343">
        <f>SUMPRODUCT((③労働時間!$A$5:$A$195=作業体系表!$B25)*(③労働時間!$B$5:$B$195="2月上旬")*(③労働時間!$J$5:$J$195))</f>
        <v>0</v>
      </c>
      <c r="H25" s="343">
        <f>SUMPRODUCT((③労働時間!$A$5:$A$195=作業体系表!$B25)*(③労働時間!$B$5:$B$195="2月中旬")*(③労働時間!$J$5:$J$195))</f>
        <v>0</v>
      </c>
      <c r="I25" s="343">
        <f>SUMPRODUCT((③労働時間!$A$5:$A$195=作業体系表!$B25)*(③労働時間!$B$5:$B$195="2月下旬")*(③労働時間!$J$5:$J$195))</f>
        <v>0</v>
      </c>
      <c r="J25" s="343">
        <f>SUMPRODUCT((③労働時間!$A$5:$A$195=作業体系表!$B25)*(③労働時間!$B$5:$B$195="3月上旬")*(③労働時間!$J$5:$J$195))</f>
        <v>0</v>
      </c>
      <c r="K25" s="343">
        <f>SUMPRODUCT((③労働時間!$A$5:$A$195=作業体系表!$B25)*(③労働時間!$B$5:$B$195="3月中旬")*(③労働時間!$J$5:$J$195))</f>
        <v>0</v>
      </c>
      <c r="L25" s="343">
        <f>SUMPRODUCT((③労働時間!$A$5:$A$195=作業体系表!$B25)*(③労働時間!$B$5:$B$195="3月下旬")*(③労働時間!$J$5:$J$195))</f>
        <v>0</v>
      </c>
      <c r="M25" s="343">
        <f>SUMPRODUCT((③労働時間!$A$5:$A$195=作業体系表!$B25)*(③労働時間!$B$5:$B$195="4月上旬")*(③労働時間!$J$5:$J$195))</f>
        <v>0</v>
      </c>
      <c r="N25" s="343">
        <f>SUMPRODUCT((③労働時間!$A$5:$A$195=作業体系表!$B25)*(③労働時間!$B$5:$B$195="4月中旬")*(③労働時間!$J$5:$J$195))</f>
        <v>0</v>
      </c>
      <c r="O25" s="343">
        <f>SUMPRODUCT((③労働時間!$A$5:$A$195=作業体系表!$B25)*(③労働時間!$B$5:$B$195="4月下旬")*(③労働時間!$J$5:$J$195))</f>
        <v>0</v>
      </c>
      <c r="P25" s="344">
        <f>SUMPRODUCT((③労働時間!$A$5:$A$195=作業体系表!$B25)*(③労働時間!$B$5:$B$195="5月上旬")*(③労働時間!$J$5:$J$195))</f>
        <v>0</v>
      </c>
      <c r="Q25" s="343">
        <f>SUMPRODUCT((③労働時間!$A$5:$A$195=作業体系表!$B25)*(③労働時間!$B$5:$B$195="5月中旬")*(③労働時間!$J$5:$J$195))</f>
        <v>0</v>
      </c>
      <c r="R25" s="343">
        <f>SUMPRODUCT((③労働時間!$A$5:$A$195=作業体系表!$B25)*(③労働時間!$B$5:$B$195="5月下旬")*(③労働時間!$J$5:$J$195))</f>
        <v>0</v>
      </c>
      <c r="S25" s="343">
        <f>SUMPRODUCT((③労働時間!$A$5:$A$195=作業体系表!$B25)*(③労働時間!$B$5:$B$195="6月上旬")*(③労働時間!$J$5:$J$195))</f>
        <v>0</v>
      </c>
      <c r="T25" s="343">
        <f>SUMPRODUCT((③労働時間!$A$5:$A$195=作業体系表!$B25)*(③労働時間!$B$5:$B$195="6月中旬")*(③労働時間!$J$5:$J$195))</f>
        <v>0</v>
      </c>
      <c r="U25" s="343">
        <f>SUMPRODUCT((③労働時間!$A$5:$A$195=作業体系表!$B25)*(③労働時間!$B$5:$B$195="6月下旬")*(③労働時間!$J$5:$J$195))</f>
        <v>0</v>
      </c>
      <c r="V25" s="343">
        <f>SUMPRODUCT((③労働時間!$A$5:$A$195=作業体系表!$B25)*(③労働時間!$B$5:$B$195="7月上旬")*(③労働時間!$J$5:$J$195))</f>
        <v>0</v>
      </c>
      <c r="W25" s="343">
        <f>SUMPRODUCT((③労働時間!$A$5:$A$195=作業体系表!$B25)*(③労働時間!$B$5:$B$195="7月中旬")*(③労働時間!$J$5:$J$195))</f>
        <v>0</v>
      </c>
      <c r="X25" s="343">
        <f>SUMPRODUCT((③労働時間!$A$5:$A$195=作業体系表!$B25)*(③労働時間!$B$5:$B$195="7月下旬")*(③労働時間!$J$5:$J$195))</f>
        <v>0</v>
      </c>
      <c r="Y25" s="343">
        <f>SUMPRODUCT((③労働時間!$A$5:$A$195=作業体系表!$B25)*(③労働時間!$B$5:$B$195="8月上旬")*(③労働時間!$J$5:$J$195))</f>
        <v>0</v>
      </c>
      <c r="Z25" s="343">
        <f>SUMPRODUCT((③労働時間!$A$5:$A$195=作業体系表!$B25)*(③労働時間!$B$5:$B$195="8月中旬")*(③労働時間!$J$5:$J$195))</f>
        <v>0</v>
      </c>
      <c r="AA25" s="343">
        <f>SUMPRODUCT((③労働時間!$A$5:$A$195=作業体系表!$B25)*(③労働時間!$B$5:$B$195="8月下旬")*(③労働時間!$J$5:$J$195))</f>
        <v>0</v>
      </c>
      <c r="AB25" s="344">
        <f>SUMPRODUCT((③労働時間!$A$5:$A$195=作業体系表!$B25)*(③労働時間!$B$5:$B$195="9月上旬")*(③労働時間!$J$5:$J$195))</f>
        <v>0</v>
      </c>
      <c r="AC25" s="343">
        <f>SUMPRODUCT((③労働時間!$A$5:$A$195=作業体系表!$B25)*(③労働時間!$B$5:$B$195="9月中旬")*(③労働時間!$J$5:$J$195))</f>
        <v>0</v>
      </c>
      <c r="AD25" s="343">
        <f>SUMPRODUCT((③労働時間!$A$5:$A$195=作業体系表!$B25)*(③労働時間!$B$5:$B$195="9月下旬")*(③労働時間!$J$5:$J$195))</f>
        <v>0</v>
      </c>
      <c r="AE25" s="343">
        <f>SUMPRODUCT((③労働時間!$A$5:$A$195=作業体系表!$B25)*(③労働時間!$B$5:$B$195="10月上旬")*(③労働時間!$J$5:$J$195))</f>
        <v>0</v>
      </c>
      <c r="AF25" s="343">
        <f>SUMPRODUCT((③労働時間!$A$5:$A$195=作業体系表!$B25)*(③労働時間!$B$5:$B$195="10月中旬")*(③労働時間!$J$5:$J$195))</f>
        <v>0</v>
      </c>
      <c r="AG25" s="343">
        <f>SUMPRODUCT((③労働時間!$A$5:$A$195=作業体系表!$B25)*(③労働時間!$B$5:$B$195="10月下旬")*(③労働時間!$J$5:$J$195))</f>
        <v>0</v>
      </c>
      <c r="AH25" s="343">
        <f>SUMPRODUCT((③労働時間!$A$5:$A$195=作業体系表!$B25)*(③労働時間!$B$5:$B$195="11月上旬")*(③労働時間!$J$5:$J$195))</f>
        <v>0</v>
      </c>
      <c r="AI25" s="343">
        <f>SUMPRODUCT((③労働時間!$A$5:$A$195=作業体系表!$B25)*(③労働時間!$B$5:$B$195="11月中旬")*(③労働時間!$J$5:$J$195))</f>
        <v>0</v>
      </c>
      <c r="AJ25" s="343">
        <f>SUMPRODUCT((③労働時間!$A$5:$A$195=作業体系表!$B25)*(③労働時間!$B$5:$B$195="11月下旬")*(③労働時間!$J$5:$J$195))</f>
        <v>0</v>
      </c>
      <c r="AK25" s="343">
        <f>SUMPRODUCT((③労働時間!$A$5:$A$195=作業体系表!$B25)*(③労働時間!$B$5:$B$195="12月上旬")*(③労働時間!$J$5:$J$195))</f>
        <v>0</v>
      </c>
      <c r="AL25" s="343">
        <f>SUMPRODUCT((③労働時間!$A$5:$A$195=作業体系表!$B25)*(③労働時間!$B$5:$B$195="12月中旬")*(③労働時間!$J$5:$J$195))</f>
        <v>0</v>
      </c>
      <c r="AM25" s="345">
        <f>SUMPRODUCT((③労働時間!$A$5:$A$195=作業体系表!$B25)*(③労働時間!$B$5:$B$195="12月下旬")*(③労働時間!$J$5:$J$195))</f>
        <v>0</v>
      </c>
      <c r="AN25" s="346">
        <f t="shared" si="0"/>
        <v>0</v>
      </c>
    </row>
    <row r="26" spans="2:40" ht="15" customHeight="1">
      <c r="B26" s="784">
        <f>①技術体系!A23</f>
        <v>0</v>
      </c>
      <c r="C26" s="785"/>
      <c r="D26" s="343">
        <f>SUMPRODUCT((③労働時間!$A$5:$A$195=作業体系表!$B26)*(③労働時間!$B$5:$B$195="1月上旬")*(③労働時間!$J$5:$J$195))</f>
        <v>0</v>
      </c>
      <c r="E26" s="343">
        <f>SUMPRODUCT((③労働時間!$A$5:$A$195=作業体系表!$B26)*(③労働時間!$B$5:$B$195="1月中旬")*(③労働時間!$J$5:$J$195))</f>
        <v>0</v>
      </c>
      <c r="F26" s="343">
        <f>SUMPRODUCT((③労働時間!$A$5:$A$195=作業体系表!$B26)*(③労働時間!$B$5:$B$195="1月下旬")*(③労働時間!$J$5:$J$195))</f>
        <v>0</v>
      </c>
      <c r="G26" s="343">
        <f>SUMPRODUCT((③労働時間!$A$5:$A$195=作業体系表!$B26)*(③労働時間!$B$5:$B$195="2月上旬")*(③労働時間!$J$5:$J$195))</f>
        <v>0</v>
      </c>
      <c r="H26" s="343">
        <f>SUMPRODUCT((③労働時間!$A$5:$A$195=作業体系表!$B26)*(③労働時間!$B$5:$B$195="2月中旬")*(③労働時間!$J$5:$J$195))</f>
        <v>0</v>
      </c>
      <c r="I26" s="343">
        <f>SUMPRODUCT((③労働時間!$A$5:$A$195=作業体系表!$B26)*(③労働時間!$B$5:$B$195="2月下旬")*(③労働時間!$J$5:$J$195))</f>
        <v>0</v>
      </c>
      <c r="J26" s="343">
        <f>SUMPRODUCT((③労働時間!$A$5:$A$195=作業体系表!$B26)*(③労働時間!$B$5:$B$195="3月上旬")*(③労働時間!$J$5:$J$195))</f>
        <v>0</v>
      </c>
      <c r="K26" s="343">
        <f>SUMPRODUCT((③労働時間!$A$5:$A$195=作業体系表!$B26)*(③労働時間!$B$5:$B$195="3月中旬")*(③労働時間!$J$5:$J$195))</f>
        <v>0</v>
      </c>
      <c r="L26" s="343">
        <f>SUMPRODUCT((③労働時間!$A$5:$A$195=作業体系表!$B26)*(③労働時間!$B$5:$B$195="3月下旬")*(③労働時間!$J$5:$J$195))</f>
        <v>0</v>
      </c>
      <c r="M26" s="343">
        <f>SUMPRODUCT((③労働時間!$A$5:$A$195=作業体系表!$B26)*(③労働時間!$B$5:$B$195="4月上旬")*(③労働時間!$J$5:$J$195))</f>
        <v>0</v>
      </c>
      <c r="N26" s="343">
        <f>SUMPRODUCT((③労働時間!$A$5:$A$195=作業体系表!$B26)*(③労働時間!$B$5:$B$195="4月中旬")*(③労働時間!$J$5:$J$195))</f>
        <v>0</v>
      </c>
      <c r="O26" s="343">
        <f>SUMPRODUCT((③労働時間!$A$5:$A$195=作業体系表!$B26)*(③労働時間!$B$5:$B$195="4月下旬")*(③労働時間!$J$5:$J$195))</f>
        <v>0</v>
      </c>
      <c r="P26" s="344">
        <f>SUMPRODUCT((③労働時間!$A$5:$A$195=作業体系表!$B26)*(③労働時間!$B$5:$B$195="5月上旬")*(③労働時間!$J$5:$J$195))</f>
        <v>0</v>
      </c>
      <c r="Q26" s="343">
        <f>SUMPRODUCT((③労働時間!$A$5:$A$195=作業体系表!$B26)*(③労働時間!$B$5:$B$195="5月中旬")*(③労働時間!$J$5:$J$195))</f>
        <v>0</v>
      </c>
      <c r="R26" s="343">
        <f>SUMPRODUCT((③労働時間!$A$5:$A$195=作業体系表!$B26)*(③労働時間!$B$5:$B$195="5月下旬")*(③労働時間!$J$5:$J$195))</f>
        <v>0</v>
      </c>
      <c r="S26" s="343">
        <f>SUMPRODUCT((③労働時間!$A$5:$A$195=作業体系表!$B26)*(③労働時間!$B$5:$B$195="6月上旬")*(③労働時間!$J$5:$J$195))</f>
        <v>0</v>
      </c>
      <c r="T26" s="343">
        <f>SUMPRODUCT((③労働時間!$A$5:$A$195=作業体系表!$B26)*(③労働時間!$B$5:$B$195="6月中旬")*(③労働時間!$J$5:$J$195))</f>
        <v>0</v>
      </c>
      <c r="U26" s="343">
        <f>SUMPRODUCT((③労働時間!$A$5:$A$195=作業体系表!$B26)*(③労働時間!$B$5:$B$195="6月下旬")*(③労働時間!$J$5:$J$195))</f>
        <v>0</v>
      </c>
      <c r="V26" s="343">
        <f>SUMPRODUCT((③労働時間!$A$5:$A$195=作業体系表!$B26)*(③労働時間!$B$5:$B$195="7月上旬")*(③労働時間!$J$5:$J$195))</f>
        <v>0</v>
      </c>
      <c r="W26" s="343">
        <f>SUMPRODUCT((③労働時間!$A$5:$A$195=作業体系表!$B26)*(③労働時間!$B$5:$B$195="7月中旬")*(③労働時間!$J$5:$J$195))</f>
        <v>0</v>
      </c>
      <c r="X26" s="343">
        <f>SUMPRODUCT((③労働時間!$A$5:$A$195=作業体系表!$B26)*(③労働時間!$B$5:$B$195="7月下旬")*(③労働時間!$J$5:$J$195))</f>
        <v>0</v>
      </c>
      <c r="Y26" s="343">
        <f>SUMPRODUCT((③労働時間!$A$5:$A$195=作業体系表!$B26)*(③労働時間!$B$5:$B$195="8月上旬")*(③労働時間!$J$5:$J$195))</f>
        <v>0</v>
      </c>
      <c r="Z26" s="343">
        <f>SUMPRODUCT((③労働時間!$A$5:$A$195=作業体系表!$B26)*(③労働時間!$B$5:$B$195="8月中旬")*(③労働時間!$J$5:$J$195))</f>
        <v>0</v>
      </c>
      <c r="AA26" s="343">
        <f>SUMPRODUCT((③労働時間!$A$5:$A$195=作業体系表!$B26)*(③労働時間!$B$5:$B$195="8月下旬")*(③労働時間!$J$5:$J$195))</f>
        <v>0</v>
      </c>
      <c r="AB26" s="344">
        <f>SUMPRODUCT((③労働時間!$A$5:$A$195=作業体系表!$B26)*(③労働時間!$B$5:$B$195="9月上旬")*(③労働時間!$J$5:$J$195))</f>
        <v>0</v>
      </c>
      <c r="AC26" s="343">
        <f>SUMPRODUCT((③労働時間!$A$5:$A$195=作業体系表!$B26)*(③労働時間!$B$5:$B$195="9月中旬")*(③労働時間!$J$5:$J$195))</f>
        <v>0</v>
      </c>
      <c r="AD26" s="343">
        <f>SUMPRODUCT((③労働時間!$A$5:$A$195=作業体系表!$B26)*(③労働時間!$B$5:$B$195="9月下旬")*(③労働時間!$J$5:$J$195))</f>
        <v>0</v>
      </c>
      <c r="AE26" s="343">
        <f>SUMPRODUCT((③労働時間!$A$5:$A$195=作業体系表!$B26)*(③労働時間!$B$5:$B$195="10月上旬")*(③労働時間!$J$5:$J$195))</f>
        <v>0</v>
      </c>
      <c r="AF26" s="343">
        <f>SUMPRODUCT((③労働時間!$A$5:$A$195=作業体系表!$B26)*(③労働時間!$B$5:$B$195="10月中旬")*(③労働時間!$J$5:$J$195))</f>
        <v>0</v>
      </c>
      <c r="AG26" s="343">
        <f>SUMPRODUCT((③労働時間!$A$5:$A$195=作業体系表!$B26)*(③労働時間!$B$5:$B$195="10月下旬")*(③労働時間!$J$5:$J$195))</f>
        <v>0</v>
      </c>
      <c r="AH26" s="343">
        <f>SUMPRODUCT((③労働時間!$A$5:$A$195=作業体系表!$B26)*(③労働時間!$B$5:$B$195="11月上旬")*(③労働時間!$J$5:$J$195))</f>
        <v>0</v>
      </c>
      <c r="AI26" s="343">
        <f>SUMPRODUCT((③労働時間!$A$5:$A$195=作業体系表!$B26)*(③労働時間!$B$5:$B$195="11月中旬")*(③労働時間!$J$5:$J$195))</f>
        <v>0</v>
      </c>
      <c r="AJ26" s="343">
        <f>SUMPRODUCT((③労働時間!$A$5:$A$195=作業体系表!$B26)*(③労働時間!$B$5:$B$195="11月下旬")*(③労働時間!$J$5:$J$195))</f>
        <v>0</v>
      </c>
      <c r="AK26" s="343">
        <f>SUMPRODUCT((③労働時間!$A$5:$A$195=作業体系表!$B26)*(③労働時間!$B$5:$B$195="12月上旬")*(③労働時間!$J$5:$J$195))</f>
        <v>0</v>
      </c>
      <c r="AL26" s="343">
        <f>SUMPRODUCT((③労働時間!$A$5:$A$195=作業体系表!$B26)*(③労働時間!$B$5:$B$195="12月中旬")*(③労働時間!$J$5:$J$195))</f>
        <v>0</v>
      </c>
      <c r="AM26" s="345">
        <f>SUMPRODUCT((③労働時間!$A$5:$A$195=作業体系表!$B26)*(③労働時間!$B$5:$B$195="12月下旬")*(③労働時間!$J$5:$J$195))</f>
        <v>0</v>
      </c>
      <c r="AN26" s="346">
        <f t="shared" si="0"/>
        <v>0</v>
      </c>
    </row>
    <row r="27" spans="2:40" ht="15" customHeight="1">
      <c r="B27" s="784">
        <f>①技術体系!A24</f>
        <v>0</v>
      </c>
      <c r="C27" s="785"/>
      <c r="D27" s="343">
        <f>SUMPRODUCT((③労働時間!$A$5:$A$195=作業体系表!$B27)*(③労働時間!$B$5:$B$195="1月上旬")*(③労働時間!$J$5:$J$195))</f>
        <v>0</v>
      </c>
      <c r="E27" s="343">
        <f>SUMPRODUCT((③労働時間!$A$5:$A$195=作業体系表!$B27)*(③労働時間!$B$5:$B$195="1月中旬")*(③労働時間!$J$5:$J$195))</f>
        <v>0</v>
      </c>
      <c r="F27" s="343">
        <f>SUMPRODUCT((③労働時間!$A$5:$A$195=作業体系表!$B27)*(③労働時間!$B$5:$B$195="1月下旬")*(③労働時間!$J$5:$J$195))</f>
        <v>0</v>
      </c>
      <c r="G27" s="343">
        <f>SUMPRODUCT((③労働時間!$A$5:$A$195=作業体系表!$B27)*(③労働時間!$B$5:$B$195="2月上旬")*(③労働時間!$J$5:$J$195))</f>
        <v>0</v>
      </c>
      <c r="H27" s="343">
        <f>SUMPRODUCT((③労働時間!$A$5:$A$195=作業体系表!$B27)*(③労働時間!$B$5:$B$195="2月中旬")*(③労働時間!$J$5:$J$195))</f>
        <v>0</v>
      </c>
      <c r="I27" s="343">
        <f>SUMPRODUCT((③労働時間!$A$5:$A$195=作業体系表!$B27)*(③労働時間!$B$5:$B$195="2月下旬")*(③労働時間!$J$5:$J$195))</f>
        <v>0</v>
      </c>
      <c r="J27" s="343">
        <f>SUMPRODUCT((③労働時間!$A$5:$A$195=作業体系表!$B27)*(③労働時間!$B$5:$B$195="3月上旬")*(③労働時間!$J$5:$J$195))</f>
        <v>0</v>
      </c>
      <c r="K27" s="343">
        <f>SUMPRODUCT((③労働時間!$A$5:$A$195=作業体系表!$B27)*(③労働時間!$B$5:$B$195="3月中旬")*(③労働時間!$J$5:$J$195))</f>
        <v>0</v>
      </c>
      <c r="L27" s="343">
        <f>SUMPRODUCT((③労働時間!$A$5:$A$195=作業体系表!$B27)*(③労働時間!$B$5:$B$195="3月下旬")*(③労働時間!$J$5:$J$195))</f>
        <v>0</v>
      </c>
      <c r="M27" s="343">
        <f>SUMPRODUCT((③労働時間!$A$5:$A$195=作業体系表!$B27)*(③労働時間!$B$5:$B$195="4月上旬")*(③労働時間!$J$5:$J$195))</f>
        <v>0</v>
      </c>
      <c r="N27" s="343">
        <f>SUMPRODUCT((③労働時間!$A$5:$A$195=作業体系表!$B27)*(③労働時間!$B$5:$B$195="4月中旬")*(③労働時間!$J$5:$J$195))</f>
        <v>0</v>
      </c>
      <c r="O27" s="343">
        <f>SUMPRODUCT((③労働時間!$A$5:$A$195=作業体系表!$B27)*(③労働時間!$B$5:$B$195="4月下旬")*(③労働時間!$J$5:$J$195))</f>
        <v>0</v>
      </c>
      <c r="P27" s="344">
        <f>SUMPRODUCT((③労働時間!$A$5:$A$195=作業体系表!$B27)*(③労働時間!$B$5:$B$195="5月上旬")*(③労働時間!$J$5:$J$195))</f>
        <v>0</v>
      </c>
      <c r="Q27" s="343">
        <f>SUMPRODUCT((③労働時間!$A$5:$A$195=作業体系表!$B27)*(③労働時間!$B$5:$B$195="5月中旬")*(③労働時間!$J$5:$J$195))</f>
        <v>0</v>
      </c>
      <c r="R27" s="343">
        <f>SUMPRODUCT((③労働時間!$A$5:$A$195=作業体系表!$B27)*(③労働時間!$B$5:$B$195="5月下旬")*(③労働時間!$J$5:$J$195))</f>
        <v>0</v>
      </c>
      <c r="S27" s="343">
        <f>SUMPRODUCT((③労働時間!$A$5:$A$195=作業体系表!$B27)*(③労働時間!$B$5:$B$195="6月上旬")*(③労働時間!$J$5:$J$195))</f>
        <v>0</v>
      </c>
      <c r="T27" s="343">
        <f>SUMPRODUCT((③労働時間!$A$5:$A$195=作業体系表!$B27)*(③労働時間!$B$5:$B$195="6月中旬")*(③労働時間!$J$5:$J$195))</f>
        <v>0</v>
      </c>
      <c r="U27" s="343">
        <f>SUMPRODUCT((③労働時間!$A$5:$A$195=作業体系表!$B27)*(③労働時間!$B$5:$B$195="6月下旬")*(③労働時間!$J$5:$J$195))</f>
        <v>0</v>
      </c>
      <c r="V27" s="343">
        <f>SUMPRODUCT((③労働時間!$A$5:$A$195=作業体系表!$B27)*(③労働時間!$B$5:$B$195="7月上旬")*(③労働時間!$J$5:$J$195))</f>
        <v>0</v>
      </c>
      <c r="W27" s="343">
        <f>SUMPRODUCT((③労働時間!$A$5:$A$195=作業体系表!$B27)*(③労働時間!$B$5:$B$195="7月中旬")*(③労働時間!$J$5:$J$195))</f>
        <v>0</v>
      </c>
      <c r="X27" s="343">
        <f>SUMPRODUCT((③労働時間!$A$5:$A$195=作業体系表!$B27)*(③労働時間!$B$5:$B$195="7月下旬")*(③労働時間!$J$5:$J$195))</f>
        <v>0</v>
      </c>
      <c r="Y27" s="343">
        <f>SUMPRODUCT((③労働時間!$A$5:$A$195=作業体系表!$B27)*(③労働時間!$B$5:$B$195="8月上旬")*(③労働時間!$J$5:$J$195))</f>
        <v>0</v>
      </c>
      <c r="Z27" s="343">
        <f>SUMPRODUCT((③労働時間!$A$5:$A$195=作業体系表!$B27)*(③労働時間!$B$5:$B$195="8月中旬")*(③労働時間!$J$5:$J$195))</f>
        <v>0</v>
      </c>
      <c r="AA27" s="343">
        <f>SUMPRODUCT((③労働時間!$A$5:$A$195=作業体系表!$B27)*(③労働時間!$B$5:$B$195="8月下旬")*(③労働時間!$J$5:$J$195))</f>
        <v>0</v>
      </c>
      <c r="AB27" s="344">
        <f>SUMPRODUCT((③労働時間!$A$5:$A$195=作業体系表!$B27)*(③労働時間!$B$5:$B$195="9月上旬")*(③労働時間!$J$5:$J$195))</f>
        <v>0</v>
      </c>
      <c r="AC27" s="343">
        <f>SUMPRODUCT((③労働時間!$A$5:$A$195=作業体系表!$B27)*(③労働時間!$B$5:$B$195="9月中旬")*(③労働時間!$J$5:$J$195))</f>
        <v>0</v>
      </c>
      <c r="AD27" s="343">
        <f>SUMPRODUCT((③労働時間!$A$5:$A$195=作業体系表!$B27)*(③労働時間!$B$5:$B$195="9月下旬")*(③労働時間!$J$5:$J$195))</f>
        <v>0</v>
      </c>
      <c r="AE27" s="343">
        <f>SUMPRODUCT((③労働時間!$A$5:$A$195=作業体系表!$B27)*(③労働時間!$B$5:$B$195="10月上旬")*(③労働時間!$J$5:$J$195))</f>
        <v>0</v>
      </c>
      <c r="AF27" s="343">
        <f>SUMPRODUCT((③労働時間!$A$5:$A$195=作業体系表!$B27)*(③労働時間!$B$5:$B$195="10月中旬")*(③労働時間!$J$5:$J$195))</f>
        <v>0</v>
      </c>
      <c r="AG27" s="343">
        <f>SUMPRODUCT((③労働時間!$A$5:$A$195=作業体系表!$B27)*(③労働時間!$B$5:$B$195="10月下旬")*(③労働時間!$J$5:$J$195))</f>
        <v>0</v>
      </c>
      <c r="AH27" s="343">
        <f>SUMPRODUCT((③労働時間!$A$5:$A$195=作業体系表!$B27)*(③労働時間!$B$5:$B$195="11月上旬")*(③労働時間!$J$5:$J$195))</f>
        <v>0</v>
      </c>
      <c r="AI27" s="343">
        <f>SUMPRODUCT((③労働時間!$A$5:$A$195=作業体系表!$B27)*(③労働時間!$B$5:$B$195="11月中旬")*(③労働時間!$J$5:$J$195))</f>
        <v>0</v>
      </c>
      <c r="AJ27" s="343">
        <f>SUMPRODUCT((③労働時間!$A$5:$A$195=作業体系表!$B27)*(③労働時間!$B$5:$B$195="11月下旬")*(③労働時間!$J$5:$J$195))</f>
        <v>0</v>
      </c>
      <c r="AK27" s="343">
        <f>SUMPRODUCT((③労働時間!$A$5:$A$195=作業体系表!$B27)*(③労働時間!$B$5:$B$195="12月上旬")*(③労働時間!$J$5:$J$195))</f>
        <v>0</v>
      </c>
      <c r="AL27" s="343">
        <f>SUMPRODUCT((③労働時間!$A$5:$A$195=作業体系表!$B27)*(③労働時間!$B$5:$B$195="12月中旬")*(③労働時間!$J$5:$J$195))</f>
        <v>0</v>
      </c>
      <c r="AM27" s="345">
        <f>SUMPRODUCT((③労働時間!$A$5:$A$195=作業体系表!$B27)*(③労働時間!$B$5:$B$195="12月下旬")*(③労働時間!$J$5:$J$195))</f>
        <v>0</v>
      </c>
      <c r="AN27" s="347">
        <f t="shared" si="0"/>
        <v>0</v>
      </c>
    </row>
    <row r="28" spans="2:40" s="405" customFormat="1" ht="12" customHeight="1">
      <c r="B28" s="788" t="s">
        <v>132</v>
      </c>
      <c r="C28" s="404" t="s">
        <v>141</v>
      </c>
      <c r="D28" s="350">
        <f>SUMPRODUCT((③労働時間!$B$5:$B$195="1月上旬")*(③労働時間!$Q$5:$Q$195))</f>
        <v>0</v>
      </c>
      <c r="E28" s="351">
        <f>SUMPRODUCT((③労働時間!$B$5:$B$195="1月中旬")*(③労働時間!$Q$5:$Q$195))</f>
        <v>0</v>
      </c>
      <c r="F28" s="351">
        <f>SUMPRODUCT((③労働時間!$B$5:$B$195="1月下旬")*(③労働時間!$Q$5:$Q$195))</f>
        <v>7.75</v>
      </c>
      <c r="G28" s="351">
        <f>SUMPRODUCT((③労働時間!$B$5:$B$195="2月上旬")*(③労働時間!$Q$5:$Q$195))</f>
        <v>1.83</v>
      </c>
      <c r="H28" s="351">
        <f>SUMPRODUCT((③労働時間!$B$5:$B$195="2月中旬")*(③労働時間!$Q$5:$Q$195))</f>
        <v>2.08</v>
      </c>
      <c r="I28" s="351">
        <f>SUMPRODUCT((③労働時間!$B$5:$B$195="2月下旬")*(③労働時間!$Q$5:$Q$195))</f>
        <v>1.83</v>
      </c>
      <c r="J28" s="351">
        <f>SUMPRODUCT((③労働時間!$B$5:$B$195="3月上旬")*(③労働時間!$Q$5:$Q$195))</f>
        <v>30.439999999999998</v>
      </c>
      <c r="K28" s="351">
        <f>SUMPRODUCT((③労働時間!$B$5:$B$195="3月中旬")*(③労働時間!$Q$5:$Q$195))</f>
        <v>24.9</v>
      </c>
      <c r="L28" s="351">
        <f>SUMPRODUCT((③労働時間!$B$5:$B$195="3月下旬")*(③労働時間!$Q$5:$Q$195))</f>
        <v>6.33</v>
      </c>
      <c r="M28" s="351">
        <f>SUMPRODUCT((③労働時間!$B$5:$B$195="4月上旬")*(③労働時間!$Q$5:$Q$195))</f>
        <v>11.97</v>
      </c>
      <c r="N28" s="351">
        <f>SUMPRODUCT((③労働時間!$B$5:$B$195="4月中旬")*(③労働時間!$Q$5:$Q$195))</f>
        <v>30.29</v>
      </c>
      <c r="O28" s="351">
        <f>SUMPRODUCT((③労働時間!$B$5:$B$195="4月下旬")*(③労働時間!$Q$5:$Q$195))</f>
        <v>39.010000000000005</v>
      </c>
      <c r="P28" s="350">
        <f>SUMPRODUCT((③労働時間!$B$5:$B$195="5月上旬")*(③労働時間!$Q$5:$Q$195))</f>
        <v>72.75</v>
      </c>
      <c r="Q28" s="351">
        <f>SUMPRODUCT((③労働時間!$B$5:$B$195="5月中旬")*(③労働時間!$Q$5:$Q$195))</f>
        <v>79.989999999999995</v>
      </c>
      <c r="R28" s="351">
        <f>SUMPRODUCT((③労働時間!$B$5:$B$195="5月下旬")*(③労働時間!$Q$5:$Q$195))</f>
        <v>60.239999999999995</v>
      </c>
      <c r="S28" s="351">
        <f>SUMPRODUCT((③労働時間!$B$5:$B$195="6月上旬")*(③労働時間!$Q$5:$Q$195))</f>
        <v>34.949999999999996</v>
      </c>
      <c r="T28" s="351">
        <f>SUMPRODUCT((③労働時間!$B$5:$B$195="6月中旬")*(③労働時間!$Q$5:$Q$195))</f>
        <v>7.13</v>
      </c>
      <c r="U28" s="351">
        <f>SUMPRODUCT((③労働時間!$B$5:$B$195="6月下旬")*(③労働時間!$Q$5:$Q$195))</f>
        <v>33.18</v>
      </c>
      <c r="V28" s="351">
        <f>SUMPRODUCT((③労働時間!$B$5:$B$195="7月上旬")*(③労働時間!$Q$5:$Q$195))</f>
        <v>56.019999999999996</v>
      </c>
      <c r="W28" s="351">
        <f>SUMPRODUCT((③労働時間!$B$5:$B$195="7月中旬")*(③労働時間!$Q$5:$Q$195))</f>
        <v>118.69</v>
      </c>
      <c r="X28" s="351">
        <f>SUMPRODUCT((③労働時間!$B$5:$B$195="7月下旬")*(③労働時間!$Q$5:$Q$195))</f>
        <v>70.37</v>
      </c>
      <c r="Y28" s="351">
        <f>SUMPRODUCT((③労働時間!$B$5:$B$195="8月上旬")*(③労働時間!$Q$5:$Q$195))</f>
        <v>34.74</v>
      </c>
      <c r="Z28" s="351">
        <f>SUMPRODUCT((③労働時間!$B$5:$B$195="8月中旬")*(③労働時間!$Q$5:$Q$195))</f>
        <v>16.39</v>
      </c>
      <c r="AA28" s="351">
        <f>SUMPRODUCT((③労働時間!$B$5:$B$195="8月下旬")*(③労働時間!$Q$5:$Q$195))</f>
        <v>15.620000000000001</v>
      </c>
      <c r="AB28" s="350">
        <f>SUMPRODUCT((③労働時間!$B$5:$B$195="9月上旬")*(③労働時間!$Q$5:$Q$195))</f>
        <v>43.48</v>
      </c>
      <c r="AC28" s="351">
        <f>SUMPRODUCT((③労働時間!$B$5:$B$195="9月中旬")*(③労働時間!$Q$5:$Q$195))</f>
        <v>52.910000000000004</v>
      </c>
      <c r="AD28" s="351">
        <f>SUMPRODUCT((③労働時間!$B$5:$B$195="9月下旬")*(③労働時間!$Q$5:$Q$195))</f>
        <v>32.21</v>
      </c>
      <c r="AE28" s="351">
        <f>SUMPRODUCT((③労働時間!$B$5:$B$195="10月上旬")*(③労働時間!$Q$5:$Q$195))</f>
        <v>59.6</v>
      </c>
      <c r="AF28" s="351">
        <f>SUMPRODUCT((③労働時間!$B$5:$B$195="10月中旬")*(③労働時間!$Q$5:$Q$195))</f>
        <v>34.44</v>
      </c>
      <c r="AG28" s="351">
        <f>SUMPRODUCT((③労働時間!$B$5:$B$195="10月下旬")*(③労働時間!$Q$5:$Q$195))</f>
        <v>24.770000000000003</v>
      </c>
      <c r="AH28" s="351">
        <f>SUMPRODUCT((③労働時間!$B$5:$B$195="11月上旬")*(③労働時間!$Q$5:$Q$195))</f>
        <v>6.7</v>
      </c>
      <c r="AI28" s="351">
        <f>SUMPRODUCT((③労働時間!$B$5:$B$195="11月中旬")*(③労働時間!$Q$5:$Q$195))</f>
        <v>18.87</v>
      </c>
      <c r="AJ28" s="351">
        <f>SUMPRODUCT((③労働時間!$B$5:$B$195="11月下旬")*(③労働時間!$Q$5:$Q$195))</f>
        <v>29.2</v>
      </c>
      <c r="AK28" s="351">
        <f>SUMPRODUCT((③労働時間!$B$5:$B$195="12月上旬")*(③労働時間!$Q$5:$Q$195))</f>
        <v>8</v>
      </c>
      <c r="AL28" s="351">
        <f>SUMPRODUCT((③労働時間!$B$5:$B$195="12月中旬")*(③労働時間!$Q$5:$Q$195))</f>
        <v>0</v>
      </c>
      <c r="AM28" s="351">
        <f>SUMPRODUCT((③労働時間!$B$5:$B$195="12月下旬")*(③労働時間!$Q$5:$Q$195))</f>
        <v>0</v>
      </c>
      <c r="AN28" s="352">
        <f>SUM(D28:AM28)</f>
        <v>1066.68</v>
      </c>
    </row>
    <row r="29" spans="2:40" s="405" customFormat="1" ht="12" customHeight="1">
      <c r="B29" s="788"/>
      <c r="C29" s="406" t="s">
        <v>142</v>
      </c>
      <c r="D29" s="353">
        <f>SUMPRODUCT((③労働時間!$B$5:$B$195="1月上旬")*(③労働時間!$R$5:$R$195))</f>
        <v>0</v>
      </c>
      <c r="E29" s="354">
        <f>SUMPRODUCT((③労働時間!$B$5:$B$195="1月中旬")*(③労働時間!$R$5:$R$195))</f>
        <v>0</v>
      </c>
      <c r="F29" s="354">
        <f>SUMPRODUCT((③労働時間!$B$5:$B$195="1月下旬")*(③労働時間!$R$5:$R$195))</f>
        <v>0</v>
      </c>
      <c r="G29" s="354">
        <f>SUMPRODUCT((③労働時間!$B$5:$B$195="2月上旬")*(③労働時間!$R$5:$R$195))</f>
        <v>0</v>
      </c>
      <c r="H29" s="354">
        <f>SUMPRODUCT((③労働時間!$B$5:$B$195="2月中旬")*(③労働時間!$R$5:$R$195))</f>
        <v>0</v>
      </c>
      <c r="I29" s="354">
        <f>SUMPRODUCT((③労働時間!$B$5:$B$195="2月下旬")*(③労働時間!$R$5:$R$195))</f>
        <v>0</v>
      </c>
      <c r="J29" s="354">
        <f>SUMPRODUCT((③労働時間!$B$5:$B$195="3月上旬")*(③労働時間!$R$5:$R$195))</f>
        <v>0</v>
      </c>
      <c r="K29" s="354">
        <f>SUMPRODUCT((③労働時間!$B$5:$B$195="3月中旬")*(③労働時間!$R$5:$R$195))</f>
        <v>0</v>
      </c>
      <c r="L29" s="354">
        <f>SUMPRODUCT((③労働時間!$B$5:$B$195="3月下旬")*(③労働時間!$R$5:$R$195))</f>
        <v>0</v>
      </c>
      <c r="M29" s="354">
        <f>SUMPRODUCT((③労働時間!$B$5:$B$195="4月上旬")*(③労働時間!$R$5:$R$195))</f>
        <v>0</v>
      </c>
      <c r="N29" s="354">
        <f>SUMPRODUCT((③労働時間!$B$5:$B$195="4月中旬")*(③労働時間!$R$5:$R$195))</f>
        <v>0</v>
      </c>
      <c r="O29" s="354">
        <f>SUMPRODUCT((③労働時間!$B$5:$B$195="4月下旬")*(③労働時間!$R$5:$R$195))</f>
        <v>0</v>
      </c>
      <c r="P29" s="353">
        <f>SUMPRODUCT((③労働時間!$B$5:$B$195="5月上旬")*(③労働時間!$R$5:$R$195))</f>
        <v>0</v>
      </c>
      <c r="Q29" s="354">
        <f>SUMPRODUCT((③労働時間!$B$5:$B$195="5月中旬")*(③労働時間!$R$5:$R$195))</f>
        <v>0</v>
      </c>
      <c r="R29" s="354">
        <f>SUMPRODUCT((③労働時間!$B$5:$B$195="5月下旬")*(③労働時間!$R$5:$R$195))</f>
        <v>0</v>
      </c>
      <c r="S29" s="354">
        <f>SUMPRODUCT((③労働時間!$B$5:$B$195="6月上旬")*(③労働時間!$R$5:$R$195))</f>
        <v>0</v>
      </c>
      <c r="T29" s="354">
        <f>SUMPRODUCT((③労働時間!$B$5:$B$195="6月中旬")*(③労働時間!$R$5:$R$195))</f>
        <v>0</v>
      </c>
      <c r="U29" s="354">
        <f>SUMPRODUCT((③労働時間!$B$5:$B$195="6月下旬")*(③労働時間!$R$5:$R$195))</f>
        <v>0</v>
      </c>
      <c r="V29" s="354">
        <f>SUMPRODUCT((③労働時間!$B$5:$B$195="7月上旬")*(③労働時間!$R$5:$R$195))</f>
        <v>0</v>
      </c>
      <c r="W29" s="354">
        <f>SUMPRODUCT((③労働時間!$B$5:$B$195="7月中旬")*(③労働時間!$R$5:$R$195))</f>
        <v>0</v>
      </c>
      <c r="X29" s="354">
        <f>SUMPRODUCT((③労働時間!$B$5:$B$195="7月下旬")*(③労働時間!$R$5:$R$195))</f>
        <v>0</v>
      </c>
      <c r="Y29" s="354">
        <f>SUMPRODUCT((③労働時間!$B$5:$B$195="8月上旬")*(③労働時間!$R$5:$R$195))</f>
        <v>0</v>
      </c>
      <c r="Z29" s="354">
        <f>SUMPRODUCT((③労働時間!$B$5:$B$195="8月中旬")*(③労働時間!$R$5:$R$195))</f>
        <v>0</v>
      </c>
      <c r="AA29" s="354">
        <f>SUMPRODUCT((③労働時間!$B$5:$B$195="8月下旬")*(③労働時間!$R$5:$R$195))</f>
        <v>0</v>
      </c>
      <c r="AB29" s="353">
        <f>SUMPRODUCT((③労働時間!$B$5:$B$195="9月上旬")*(③労働時間!$R$5:$R$195))</f>
        <v>0</v>
      </c>
      <c r="AC29" s="354">
        <f>SUMPRODUCT((③労働時間!$B$5:$B$195="9月中旬")*(③労働時間!$R$5:$R$195))</f>
        <v>0</v>
      </c>
      <c r="AD29" s="354">
        <f>SUMPRODUCT((③労働時間!$B$5:$B$195="9月下旬")*(③労働時間!$R$5:$R$195))</f>
        <v>0</v>
      </c>
      <c r="AE29" s="354">
        <f>SUMPRODUCT((③労働時間!$B$5:$B$195="10月上旬")*(③労働時間!$R$5:$R$195))</f>
        <v>0</v>
      </c>
      <c r="AF29" s="354">
        <f>SUMPRODUCT((③労働時間!$B$5:$B$195="10月中旬")*(③労働時間!$R$5:$R$195))</f>
        <v>0</v>
      </c>
      <c r="AG29" s="354">
        <f>SUMPRODUCT((③労働時間!$B$5:$B$195="10月下旬")*(③労働時間!$R$5:$R$195))</f>
        <v>0</v>
      </c>
      <c r="AH29" s="354">
        <f>SUMPRODUCT((③労働時間!$B$5:$B$195="11月上旬")*(③労働時間!$R$5:$R$195))</f>
        <v>0</v>
      </c>
      <c r="AI29" s="354">
        <f>SUMPRODUCT((③労働時間!$B$5:$B$195="11月中旬")*(③労働時間!$R$5:$R$195))</f>
        <v>0</v>
      </c>
      <c r="AJ29" s="354">
        <f>SUMPRODUCT((③労働時間!$B$5:$B$195="11月下旬")*(③労働時間!$R$5:$R$195))</f>
        <v>0</v>
      </c>
      <c r="AK29" s="354">
        <f>SUMPRODUCT((③労働時間!$B$5:$B$195="12月上旬")*(③労働時間!$R$5:$R$195))</f>
        <v>0</v>
      </c>
      <c r="AL29" s="354">
        <f>SUMPRODUCT((③労働時間!$B$5:$B$195="12月中旬")*(③労働時間!$R$5:$R$195))</f>
        <v>0</v>
      </c>
      <c r="AM29" s="354">
        <f>SUMPRODUCT((③労働時間!$B$5:$B$195="12月下旬")*(③労働時間!$R$5:$R$195))</f>
        <v>0</v>
      </c>
      <c r="AN29" s="355">
        <f>SUM(D29:AM29)</f>
        <v>0</v>
      </c>
    </row>
    <row r="30" spans="2:40" ht="12" customHeight="1">
      <c r="B30" s="788"/>
      <c r="C30" s="407" t="s">
        <v>143</v>
      </c>
      <c r="D30" s="349">
        <f t="shared" ref="D30:AM30" si="1">SUM(D9:D27)</f>
        <v>0</v>
      </c>
      <c r="E30" s="348">
        <f t="shared" si="1"/>
        <v>0</v>
      </c>
      <c r="F30" s="348">
        <f t="shared" si="1"/>
        <v>7.75</v>
      </c>
      <c r="G30" s="348">
        <f t="shared" si="1"/>
        <v>1.83</v>
      </c>
      <c r="H30" s="348">
        <f t="shared" si="1"/>
        <v>2.08</v>
      </c>
      <c r="I30" s="348">
        <f t="shared" si="1"/>
        <v>1.83</v>
      </c>
      <c r="J30" s="348">
        <f t="shared" si="1"/>
        <v>30.439999999999998</v>
      </c>
      <c r="K30" s="348">
        <f t="shared" si="1"/>
        <v>24.9</v>
      </c>
      <c r="L30" s="348">
        <f t="shared" si="1"/>
        <v>6.33</v>
      </c>
      <c r="M30" s="348">
        <f t="shared" si="1"/>
        <v>11.97</v>
      </c>
      <c r="N30" s="348">
        <f t="shared" si="1"/>
        <v>30.29</v>
      </c>
      <c r="O30" s="348">
        <f t="shared" si="1"/>
        <v>39.01</v>
      </c>
      <c r="P30" s="349">
        <f t="shared" si="1"/>
        <v>72.75</v>
      </c>
      <c r="Q30" s="348">
        <f t="shared" si="1"/>
        <v>79.989999999999995</v>
      </c>
      <c r="R30" s="348">
        <f t="shared" si="1"/>
        <v>60.24</v>
      </c>
      <c r="S30" s="348">
        <f t="shared" si="1"/>
        <v>34.950000000000003</v>
      </c>
      <c r="T30" s="348">
        <f t="shared" si="1"/>
        <v>7.129999999999999</v>
      </c>
      <c r="U30" s="348">
        <f t="shared" si="1"/>
        <v>33.18</v>
      </c>
      <c r="V30" s="348">
        <f t="shared" si="1"/>
        <v>56.019999999999996</v>
      </c>
      <c r="W30" s="348">
        <f t="shared" si="1"/>
        <v>118.69</v>
      </c>
      <c r="X30" s="348">
        <f t="shared" si="1"/>
        <v>70.37</v>
      </c>
      <c r="Y30" s="348">
        <f t="shared" si="1"/>
        <v>34.74</v>
      </c>
      <c r="Z30" s="348">
        <f t="shared" si="1"/>
        <v>16.39</v>
      </c>
      <c r="AA30" s="348">
        <f t="shared" si="1"/>
        <v>15.620000000000001</v>
      </c>
      <c r="AB30" s="349">
        <f t="shared" si="1"/>
        <v>43.48</v>
      </c>
      <c r="AC30" s="348">
        <f t="shared" si="1"/>
        <v>52.910000000000004</v>
      </c>
      <c r="AD30" s="348">
        <f t="shared" si="1"/>
        <v>32.21</v>
      </c>
      <c r="AE30" s="348">
        <f t="shared" si="1"/>
        <v>59.6</v>
      </c>
      <c r="AF30" s="348">
        <f t="shared" si="1"/>
        <v>34.44</v>
      </c>
      <c r="AG30" s="348">
        <f t="shared" si="1"/>
        <v>24.770000000000003</v>
      </c>
      <c r="AH30" s="348">
        <f t="shared" si="1"/>
        <v>6.7</v>
      </c>
      <c r="AI30" s="348">
        <f t="shared" si="1"/>
        <v>18.87</v>
      </c>
      <c r="AJ30" s="348">
        <f t="shared" si="1"/>
        <v>29.2</v>
      </c>
      <c r="AK30" s="348">
        <f t="shared" si="1"/>
        <v>8</v>
      </c>
      <c r="AL30" s="348">
        <f t="shared" si="1"/>
        <v>0</v>
      </c>
      <c r="AM30" s="348">
        <f t="shared" si="1"/>
        <v>0</v>
      </c>
      <c r="AN30" s="356">
        <f>SUM(D30:AM30)</f>
        <v>1066.6799999999998</v>
      </c>
    </row>
    <row r="31" spans="2:40" ht="12" customHeight="1" thickBot="1">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row>
    <row r="32" spans="2:40" s="43" customFormat="1" ht="20.100000000000001" customHeight="1" thickBot="1">
      <c r="C32" s="408">
        <f>①技術体系!E2*100</f>
        <v>10</v>
      </c>
      <c r="D32" s="409" t="s">
        <v>405</v>
      </c>
      <c r="E32" s="43" t="s">
        <v>402</v>
      </c>
      <c r="M32" s="410"/>
      <c r="N32" s="410"/>
      <c r="O32" s="410"/>
      <c r="P32" s="410"/>
      <c r="Q32" s="410"/>
      <c r="R32" s="410"/>
      <c r="S32" s="410"/>
      <c r="T32" s="410"/>
      <c r="U32" s="410"/>
      <c r="V32" s="410"/>
      <c r="W32" s="410"/>
      <c r="X32" s="410"/>
      <c r="Y32" s="410"/>
      <c r="Z32" s="410"/>
      <c r="AA32" s="410"/>
      <c r="AB32" s="410"/>
      <c r="AC32" s="410"/>
      <c r="AD32" s="410"/>
      <c r="AE32" s="410"/>
      <c r="AF32" s="410"/>
      <c r="AG32" s="410"/>
      <c r="AH32" s="410"/>
      <c r="AI32" s="410"/>
      <c r="AJ32" s="410"/>
      <c r="AK32" s="410"/>
      <c r="AL32" s="410"/>
      <c r="AM32" s="410"/>
      <c r="AN32" s="410"/>
    </row>
    <row r="33" spans="2:40" s="43" customFormat="1" ht="20.100000000000001" customHeight="1" thickBot="1">
      <c r="B33" s="786" t="s">
        <v>403</v>
      </c>
      <c r="C33" s="787"/>
      <c r="D33" s="597">
        <f>D30*$C$32/10</f>
        <v>0</v>
      </c>
      <c r="E33" s="598">
        <f t="shared" ref="E33:AM33" si="2">E30*$C$32/10</f>
        <v>0</v>
      </c>
      <c r="F33" s="597">
        <f t="shared" si="2"/>
        <v>7.75</v>
      </c>
      <c r="G33" s="599">
        <f t="shared" si="2"/>
        <v>1.83</v>
      </c>
      <c r="H33" s="598">
        <f t="shared" si="2"/>
        <v>2.08</v>
      </c>
      <c r="I33" s="600">
        <f t="shared" si="2"/>
        <v>1.83</v>
      </c>
      <c r="J33" s="597">
        <f t="shared" si="2"/>
        <v>30.439999999999998</v>
      </c>
      <c r="K33" s="598">
        <f t="shared" si="2"/>
        <v>24.9</v>
      </c>
      <c r="L33" s="597">
        <f t="shared" si="2"/>
        <v>6.33</v>
      </c>
      <c r="M33" s="599">
        <f t="shared" si="2"/>
        <v>11.97</v>
      </c>
      <c r="N33" s="598">
        <f t="shared" si="2"/>
        <v>30.29</v>
      </c>
      <c r="O33" s="600">
        <f t="shared" si="2"/>
        <v>39.01</v>
      </c>
      <c r="P33" s="597">
        <f t="shared" si="2"/>
        <v>72.75</v>
      </c>
      <c r="Q33" s="598">
        <f t="shared" si="2"/>
        <v>79.989999999999995</v>
      </c>
      <c r="R33" s="597">
        <f t="shared" si="2"/>
        <v>60.239999999999995</v>
      </c>
      <c r="S33" s="599">
        <f t="shared" si="2"/>
        <v>34.950000000000003</v>
      </c>
      <c r="T33" s="598">
        <f t="shared" si="2"/>
        <v>7.1299999999999981</v>
      </c>
      <c r="U33" s="600">
        <f t="shared" si="2"/>
        <v>33.18</v>
      </c>
      <c r="V33" s="597">
        <f t="shared" si="2"/>
        <v>56.019999999999996</v>
      </c>
      <c r="W33" s="598">
        <f t="shared" si="2"/>
        <v>118.69000000000001</v>
      </c>
      <c r="X33" s="597">
        <f t="shared" si="2"/>
        <v>70.37</v>
      </c>
      <c r="Y33" s="599">
        <f t="shared" si="2"/>
        <v>34.74</v>
      </c>
      <c r="Z33" s="598">
        <f t="shared" si="2"/>
        <v>16.39</v>
      </c>
      <c r="AA33" s="600">
        <f t="shared" si="2"/>
        <v>15.620000000000001</v>
      </c>
      <c r="AB33" s="597">
        <f t="shared" si="2"/>
        <v>43.48</v>
      </c>
      <c r="AC33" s="598">
        <f t="shared" si="2"/>
        <v>52.910000000000004</v>
      </c>
      <c r="AD33" s="597">
        <f t="shared" si="2"/>
        <v>32.21</v>
      </c>
      <c r="AE33" s="599">
        <f t="shared" si="2"/>
        <v>59.6</v>
      </c>
      <c r="AF33" s="598">
        <f t="shared" si="2"/>
        <v>34.44</v>
      </c>
      <c r="AG33" s="600">
        <f t="shared" si="2"/>
        <v>24.770000000000003</v>
      </c>
      <c r="AH33" s="597">
        <f t="shared" si="2"/>
        <v>6.7</v>
      </c>
      <c r="AI33" s="598">
        <f t="shared" si="2"/>
        <v>18.87</v>
      </c>
      <c r="AJ33" s="597">
        <f>AJ30*$C$32/10</f>
        <v>29.2</v>
      </c>
      <c r="AK33" s="599">
        <f t="shared" si="2"/>
        <v>8</v>
      </c>
      <c r="AL33" s="598">
        <f t="shared" si="2"/>
        <v>0</v>
      </c>
      <c r="AM33" s="600">
        <f t="shared" si="2"/>
        <v>0</v>
      </c>
      <c r="AN33" s="601">
        <f>SUM(D33:AM33)</f>
        <v>1066.68</v>
      </c>
    </row>
    <row r="34" spans="2:40" s="43" customFormat="1" ht="20.100000000000001" customHeight="1" thickTop="1">
      <c r="B34" s="789" t="s">
        <v>426</v>
      </c>
      <c r="C34" s="411" t="s">
        <v>406</v>
      </c>
      <c r="D34" s="589">
        <v>150</v>
      </c>
      <c r="E34" s="590">
        <v>150</v>
      </c>
      <c r="F34" s="589">
        <v>150</v>
      </c>
      <c r="G34" s="591">
        <v>150</v>
      </c>
      <c r="H34" s="592">
        <v>150</v>
      </c>
      <c r="I34" s="593">
        <v>150</v>
      </c>
      <c r="J34" s="602">
        <v>150</v>
      </c>
      <c r="K34" s="592">
        <v>150</v>
      </c>
      <c r="L34" s="602">
        <v>150</v>
      </c>
      <c r="M34" s="591">
        <v>150</v>
      </c>
      <c r="N34" s="592">
        <v>150</v>
      </c>
      <c r="O34" s="593">
        <v>150</v>
      </c>
      <c r="P34" s="602">
        <v>150</v>
      </c>
      <c r="Q34" s="592">
        <v>150</v>
      </c>
      <c r="R34" s="602">
        <v>150</v>
      </c>
      <c r="S34" s="591">
        <v>150</v>
      </c>
      <c r="T34" s="592">
        <v>150</v>
      </c>
      <c r="U34" s="593">
        <v>150</v>
      </c>
      <c r="V34" s="589">
        <v>150</v>
      </c>
      <c r="W34" s="590">
        <v>150</v>
      </c>
      <c r="X34" s="589">
        <v>150</v>
      </c>
      <c r="Y34" s="594">
        <v>150</v>
      </c>
      <c r="Z34" s="590">
        <v>150</v>
      </c>
      <c r="AA34" s="595">
        <v>150</v>
      </c>
      <c r="AB34" s="589">
        <v>150</v>
      </c>
      <c r="AC34" s="590">
        <v>150</v>
      </c>
      <c r="AD34" s="589">
        <v>150</v>
      </c>
      <c r="AE34" s="594">
        <v>150</v>
      </c>
      <c r="AF34" s="590">
        <v>150</v>
      </c>
      <c r="AG34" s="595">
        <v>150</v>
      </c>
      <c r="AH34" s="589">
        <v>150</v>
      </c>
      <c r="AI34" s="590">
        <v>150</v>
      </c>
      <c r="AJ34" s="589">
        <v>150</v>
      </c>
      <c r="AK34" s="594">
        <v>150</v>
      </c>
      <c r="AL34" s="590">
        <v>150</v>
      </c>
      <c r="AM34" s="595">
        <v>150</v>
      </c>
      <c r="AN34" s="596">
        <f t="shared" ref="AN34:AN35" si="3">SUM(D34:AM34)</f>
        <v>5400</v>
      </c>
    </row>
    <row r="35" spans="2:40" s="43" customFormat="1" ht="20.100000000000001" customHeight="1" thickBot="1">
      <c r="B35" s="790"/>
      <c r="C35" s="603" t="s">
        <v>508</v>
      </c>
      <c r="D35" s="591"/>
      <c r="E35" s="592"/>
      <c r="F35" s="593"/>
      <c r="G35" s="602"/>
      <c r="H35" s="592"/>
      <c r="I35" s="602"/>
      <c r="J35" s="591"/>
      <c r="K35" s="592"/>
      <c r="L35" s="593"/>
      <c r="M35" s="591"/>
      <c r="N35" s="592"/>
      <c r="O35" s="593"/>
      <c r="P35" s="602"/>
      <c r="Q35" s="592"/>
      <c r="R35" s="602"/>
      <c r="S35" s="591"/>
      <c r="T35" s="592"/>
      <c r="U35" s="593"/>
      <c r="V35" s="602"/>
      <c r="W35" s="592"/>
      <c r="X35" s="602"/>
      <c r="Y35" s="591"/>
      <c r="Z35" s="592"/>
      <c r="AA35" s="593"/>
      <c r="AB35" s="602"/>
      <c r="AC35" s="592"/>
      <c r="AD35" s="602"/>
      <c r="AE35" s="591"/>
      <c r="AF35" s="592"/>
      <c r="AG35" s="593"/>
      <c r="AH35" s="602"/>
      <c r="AI35" s="592"/>
      <c r="AJ35" s="602"/>
      <c r="AK35" s="591"/>
      <c r="AL35" s="592"/>
      <c r="AM35" s="593"/>
      <c r="AN35" s="604">
        <f t="shared" si="3"/>
        <v>0</v>
      </c>
    </row>
    <row r="36" spans="2:40" s="43" customFormat="1" ht="20.100000000000001" customHeight="1" thickBot="1">
      <c r="B36" s="791"/>
      <c r="C36" s="605" t="s">
        <v>404</v>
      </c>
      <c r="D36" s="606">
        <f>+D34+D35+-D33</f>
        <v>150</v>
      </c>
      <c r="E36" s="607">
        <f t="shared" ref="E36:AM36" si="4">+E34+E35+-E33</f>
        <v>150</v>
      </c>
      <c r="F36" s="608">
        <f t="shared" si="4"/>
        <v>142.25</v>
      </c>
      <c r="G36" s="606">
        <f t="shared" si="4"/>
        <v>148.16999999999999</v>
      </c>
      <c r="H36" s="607">
        <f t="shared" si="4"/>
        <v>147.91999999999999</v>
      </c>
      <c r="I36" s="609">
        <f t="shared" si="4"/>
        <v>148.16999999999999</v>
      </c>
      <c r="J36" s="610">
        <f t="shared" si="4"/>
        <v>119.56</v>
      </c>
      <c r="K36" s="607">
        <f t="shared" si="4"/>
        <v>125.1</v>
      </c>
      <c r="L36" s="608">
        <f t="shared" si="4"/>
        <v>143.66999999999999</v>
      </c>
      <c r="M36" s="606">
        <f t="shared" si="4"/>
        <v>138.03</v>
      </c>
      <c r="N36" s="607">
        <f t="shared" si="4"/>
        <v>119.71000000000001</v>
      </c>
      <c r="O36" s="609">
        <f t="shared" si="4"/>
        <v>110.99000000000001</v>
      </c>
      <c r="P36" s="610">
        <f t="shared" si="4"/>
        <v>77.25</v>
      </c>
      <c r="Q36" s="607">
        <f t="shared" si="4"/>
        <v>70.010000000000005</v>
      </c>
      <c r="R36" s="608">
        <f t="shared" si="4"/>
        <v>89.76</v>
      </c>
      <c r="S36" s="606">
        <f t="shared" si="4"/>
        <v>115.05</v>
      </c>
      <c r="T36" s="607">
        <f t="shared" si="4"/>
        <v>142.87</v>
      </c>
      <c r="U36" s="609">
        <f t="shared" si="4"/>
        <v>116.82</v>
      </c>
      <c r="V36" s="610">
        <f t="shared" si="4"/>
        <v>93.98</v>
      </c>
      <c r="W36" s="607">
        <f t="shared" si="4"/>
        <v>31.309999999999988</v>
      </c>
      <c r="X36" s="608">
        <f t="shared" si="4"/>
        <v>79.63</v>
      </c>
      <c r="Y36" s="606">
        <f t="shared" si="4"/>
        <v>115.25999999999999</v>
      </c>
      <c r="Z36" s="607">
        <f t="shared" si="4"/>
        <v>133.61000000000001</v>
      </c>
      <c r="AA36" s="609">
        <f t="shared" si="4"/>
        <v>134.38</v>
      </c>
      <c r="AB36" s="610">
        <f t="shared" si="4"/>
        <v>106.52000000000001</v>
      </c>
      <c r="AC36" s="607">
        <f t="shared" si="4"/>
        <v>97.09</v>
      </c>
      <c r="AD36" s="608">
        <f t="shared" si="4"/>
        <v>117.78999999999999</v>
      </c>
      <c r="AE36" s="606">
        <f t="shared" si="4"/>
        <v>90.4</v>
      </c>
      <c r="AF36" s="607">
        <f t="shared" si="4"/>
        <v>115.56</v>
      </c>
      <c r="AG36" s="609">
        <f t="shared" si="4"/>
        <v>125.22999999999999</v>
      </c>
      <c r="AH36" s="610">
        <f t="shared" si="4"/>
        <v>143.30000000000001</v>
      </c>
      <c r="AI36" s="607">
        <f t="shared" si="4"/>
        <v>131.13</v>
      </c>
      <c r="AJ36" s="608">
        <f t="shared" si="4"/>
        <v>120.8</v>
      </c>
      <c r="AK36" s="606">
        <f t="shared" si="4"/>
        <v>142</v>
      </c>
      <c r="AL36" s="607">
        <f t="shared" si="4"/>
        <v>150</v>
      </c>
      <c r="AM36" s="607">
        <f t="shared" si="4"/>
        <v>150</v>
      </c>
      <c r="AN36" s="611">
        <f t="shared" ref="AN36" si="5">SUM(D36:AM36)</f>
        <v>4333.3200000000015</v>
      </c>
    </row>
    <row r="37" spans="2:40" s="412" customFormat="1" ht="13.5" customHeight="1" thickBot="1">
      <c r="AN37" s="413"/>
    </row>
    <row r="38" spans="2:40" ht="28.5" customHeight="1">
      <c r="B38" s="42"/>
      <c r="C38" s="457" t="s">
        <v>429</v>
      </c>
      <c r="D38" s="780" t="s">
        <v>430</v>
      </c>
      <c r="E38" s="780"/>
      <c r="F38" s="781"/>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row>
    <row r="39" spans="2:40" ht="28.5" customHeight="1" thickBot="1">
      <c r="C39" s="458">
        <v>753</v>
      </c>
      <c r="D39" s="782">
        <f>C39*AN35</f>
        <v>0</v>
      </c>
      <c r="E39" s="782"/>
      <c r="F39" s="783"/>
    </row>
  </sheetData>
  <sheetProtection selectLockedCells="1"/>
  <mergeCells count="40">
    <mergeCell ref="B24:C24"/>
    <mergeCell ref="B23:C23"/>
    <mergeCell ref="B9:C9"/>
    <mergeCell ref="B17:C17"/>
    <mergeCell ref="B16:C16"/>
    <mergeCell ref="B15:C15"/>
    <mergeCell ref="B14:C14"/>
    <mergeCell ref="B13:C13"/>
    <mergeCell ref="B12:C12"/>
    <mergeCell ref="B11:C11"/>
    <mergeCell ref="B10:C10"/>
    <mergeCell ref="B22:C22"/>
    <mergeCell ref="B21:C21"/>
    <mergeCell ref="B20:C20"/>
    <mergeCell ref="B19:C19"/>
    <mergeCell ref="B18:C18"/>
    <mergeCell ref="P2:R2"/>
    <mergeCell ref="C4:C8"/>
    <mergeCell ref="V2:X2"/>
    <mergeCell ref="B2:C3"/>
    <mergeCell ref="D2:F2"/>
    <mergeCell ref="G2:I2"/>
    <mergeCell ref="J2:L2"/>
    <mergeCell ref="S2:U2"/>
    <mergeCell ref="B4:B8"/>
    <mergeCell ref="M2:O2"/>
    <mergeCell ref="AN2:AN3"/>
    <mergeCell ref="Y2:AA2"/>
    <mergeCell ref="AB2:AD2"/>
    <mergeCell ref="AE2:AG2"/>
    <mergeCell ref="AH2:AJ2"/>
    <mergeCell ref="AK2:AM2"/>
    <mergeCell ref="D38:F38"/>
    <mergeCell ref="D39:F39"/>
    <mergeCell ref="B25:C25"/>
    <mergeCell ref="B27:C27"/>
    <mergeCell ref="B33:C33"/>
    <mergeCell ref="B26:C26"/>
    <mergeCell ref="B28:B30"/>
    <mergeCell ref="B34:B36"/>
  </mergeCells>
  <phoneticPr fontId="14"/>
  <printOptions horizontalCentered="1" verticalCentered="1"/>
  <pageMargins left="0.78740157480314965" right="0.74803149606299213" top="1.1811023622047245" bottom="0.39370078740157483" header="0.78740157480314965" footer="0.51181102362204722"/>
  <pageSetup paperSize="9" scale="51" firstPageNumber="0" orientation="landscape" cellComments="asDisplayed" horizontalDpi="4294967293" verticalDpi="300" r:id="rId1"/>
  <headerFooter alignWithMargins="0">
    <oddHeader>&amp;L夏秋トマト（低段密植年２作）（中間～山間地域）</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O28"/>
  <sheetViews>
    <sheetView showGridLines="0" topLeftCell="A18" zoomScalePageLayoutView="153" workbookViewId="0">
      <selection activeCell="C24" sqref="C24"/>
    </sheetView>
  </sheetViews>
  <sheetFormatPr defaultColWidth="10" defaultRowHeight="13.5"/>
  <cols>
    <col min="1" max="1" width="3.125" style="249" customWidth="1"/>
    <col min="2" max="2" width="17.875" style="249" customWidth="1"/>
    <col min="3" max="3" width="10" style="249" customWidth="1"/>
    <col min="4" max="4" width="2.375" style="249" customWidth="1"/>
    <col min="5" max="5" width="6.125" style="249" customWidth="1"/>
    <col min="6" max="6" width="7.125" style="249" customWidth="1"/>
    <col min="7" max="7" width="1.875" style="249" customWidth="1"/>
    <col min="8" max="9" width="7.125" style="249" customWidth="1"/>
    <col min="10" max="10" width="2.125" style="249" customWidth="1"/>
    <col min="11" max="11" width="12.125" style="249" customWidth="1"/>
    <col min="12" max="12" width="5.875" style="249" customWidth="1"/>
    <col min="13" max="13" width="5.5" style="249" customWidth="1"/>
    <col min="14" max="15" width="8.375" style="249" customWidth="1"/>
    <col min="16" max="256" width="10" style="249"/>
    <col min="257" max="257" width="3.125" style="249" customWidth="1"/>
    <col min="258" max="258" width="17.875" style="249" customWidth="1"/>
    <col min="259" max="259" width="10" style="249" customWidth="1"/>
    <col min="260" max="260" width="2.375" style="249" customWidth="1"/>
    <col min="261" max="261" width="6.125" style="249" customWidth="1"/>
    <col min="262" max="262" width="7.125" style="249" customWidth="1"/>
    <col min="263" max="263" width="1.875" style="249" customWidth="1"/>
    <col min="264" max="265" width="7.125" style="249" customWidth="1"/>
    <col min="266" max="266" width="2.125" style="249" customWidth="1"/>
    <col min="267" max="267" width="12.125" style="249" customWidth="1"/>
    <col min="268" max="268" width="5.875" style="249" customWidth="1"/>
    <col min="269" max="269" width="5.5" style="249" customWidth="1"/>
    <col min="270" max="271" width="8.375" style="249" customWidth="1"/>
    <col min="272" max="512" width="10" style="249"/>
    <col min="513" max="513" width="3.125" style="249" customWidth="1"/>
    <col min="514" max="514" width="17.875" style="249" customWidth="1"/>
    <col min="515" max="515" width="10" style="249" customWidth="1"/>
    <col min="516" max="516" width="2.375" style="249" customWidth="1"/>
    <col min="517" max="517" width="6.125" style="249" customWidth="1"/>
    <col min="518" max="518" width="7.125" style="249" customWidth="1"/>
    <col min="519" max="519" width="1.875" style="249" customWidth="1"/>
    <col min="520" max="521" width="7.125" style="249" customWidth="1"/>
    <col min="522" max="522" width="2.125" style="249" customWidth="1"/>
    <col min="523" max="523" width="12.125" style="249" customWidth="1"/>
    <col min="524" max="524" width="5.875" style="249" customWidth="1"/>
    <col min="525" max="525" width="5.5" style="249" customWidth="1"/>
    <col min="526" max="527" width="8.375" style="249" customWidth="1"/>
    <col min="528" max="768" width="10" style="249"/>
    <col min="769" max="769" width="3.125" style="249" customWidth="1"/>
    <col min="770" max="770" width="17.875" style="249" customWidth="1"/>
    <col min="771" max="771" width="10" style="249" customWidth="1"/>
    <col min="772" max="772" width="2.375" style="249" customWidth="1"/>
    <col min="773" max="773" width="6.125" style="249" customWidth="1"/>
    <col min="774" max="774" width="7.125" style="249" customWidth="1"/>
    <col min="775" max="775" width="1.875" style="249" customWidth="1"/>
    <col min="776" max="777" width="7.125" style="249" customWidth="1"/>
    <col min="778" max="778" width="2.125" style="249" customWidth="1"/>
    <col min="779" max="779" width="12.125" style="249" customWidth="1"/>
    <col min="780" max="780" width="5.875" style="249" customWidth="1"/>
    <col min="781" max="781" width="5.5" style="249" customWidth="1"/>
    <col min="782" max="783" width="8.375" style="249" customWidth="1"/>
    <col min="784" max="1024" width="10" style="249"/>
    <col min="1025" max="1025" width="3.125" style="249" customWidth="1"/>
    <col min="1026" max="1026" width="17.875" style="249" customWidth="1"/>
    <col min="1027" max="1027" width="10" style="249" customWidth="1"/>
    <col min="1028" max="1028" width="2.375" style="249" customWidth="1"/>
    <col min="1029" max="1029" width="6.125" style="249" customWidth="1"/>
    <col min="1030" max="1030" width="7.125" style="249" customWidth="1"/>
    <col min="1031" max="1031" width="1.875" style="249" customWidth="1"/>
    <col min="1032" max="1033" width="7.125" style="249" customWidth="1"/>
    <col min="1034" max="1034" width="2.125" style="249" customWidth="1"/>
    <col min="1035" max="1035" width="12.125" style="249" customWidth="1"/>
    <col min="1036" max="1036" width="5.875" style="249" customWidth="1"/>
    <col min="1037" max="1037" width="5.5" style="249" customWidth="1"/>
    <col min="1038" max="1039" width="8.375" style="249" customWidth="1"/>
    <col min="1040" max="1280" width="10" style="249"/>
    <col min="1281" max="1281" width="3.125" style="249" customWidth="1"/>
    <col min="1282" max="1282" width="17.875" style="249" customWidth="1"/>
    <col min="1283" max="1283" width="10" style="249" customWidth="1"/>
    <col min="1284" max="1284" width="2.375" style="249" customWidth="1"/>
    <col min="1285" max="1285" width="6.125" style="249" customWidth="1"/>
    <col min="1286" max="1286" width="7.125" style="249" customWidth="1"/>
    <col min="1287" max="1287" width="1.875" style="249" customWidth="1"/>
    <col min="1288" max="1289" width="7.125" style="249" customWidth="1"/>
    <col min="1290" max="1290" width="2.125" style="249" customWidth="1"/>
    <col min="1291" max="1291" width="12.125" style="249" customWidth="1"/>
    <col min="1292" max="1292" width="5.875" style="249" customWidth="1"/>
    <col min="1293" max="1293" width="5.5" style="249" customWidth="1"/>
    <col min="1294" max="1295" width="8.375" style="249" customWidth="1"/>
    <col min="1296" max="1536" width="10" style="249"/>
    <col min="1537" max="1537" width="3.125" style="249" customWidth="1"/>
    <col min="1538" max="1538" width="17.875" style="249" customWidth="1"/>
    <col min="1539" max="1539" width="10" style="249" customWidth="1"/>
    <col min="1540" max="1540" width="2.375" style="249" customWidth="1"/>
    <col min="1541" max="1541" width="6.125" style="249" customWidth="1"/>
    <col min="1542" max="1542" width="7.125" style="249" customWidth="1"/>
    <col min="1543" max="1543" width="1.875" style="249" customWidth="1"/>
    <col min="1544" max="1545" width="7.125" style="249" customWidth="1"/>
    <col min="1546" max="1546" width="2.125" style="249" customWidth="1"/>
    <col min="1547" max="1547" width="12.125" style="249" customWidth="1"/>
    <col min="1548" max="1548" width="5.875" style="249" customWidth="1"/>
    <col min="1549" max="1549" width="5.5" style="249" customWidth="1"/>
    <col min="1550" max="1551" width="8.375" style="249" customWidth="1"/>
    <col min="1552" max="1792" width="10" style="249"/>
    <col min="1793" max="1793" width="3.125" style="249" customWidth="1"/>
    <col min="1794" max="1794" width="17.875" style="249" customWidth="1"/>
    <col min="1795" max="1795" width="10" style="249" customWidth="1"/>
    <col min="1796" max="1796" width="2.375" style="249" customWidth="1"/>
    <col min="1797" max="1797" width="6.125" style="249" customWidth="1"/>
    <col min="1798" max="1798" width="7.125" style="249" customWidth="1"/>
    <col min="1799" max="1799" width="1.875" style="249" customWidth="1"/>
    <col min="1800" max="1801" width="7.125" style="249" customWidth="1"/>
    <col min="1802" max="1802" width="2.125" style="249" customWidth="1"/>
    <col min="1803" max="1803" width="12.125" style="249" customWidth="1"/>
    <col min="1804" max="1804" width="5.875" style="249" customWidth="1"/>
    <col min="1805" max="1805" width="5.5" style="249" customWidth="1"/>
    <col min="1806" max="1807" width="8.375" style="249" customWidth="1"/>
    <col min="1808" max="2048" width="10" style="249"/>
    <col min="2049" max="2049" width="3.125" style="249" customWidth="1"/>
    <col min="2050" max="2050" width="17.875" style="249" customWidth="1"/>
    <col min="2051" max="2051" width="10" style="249" customWidth="1"/>
    <col min="2052" max="2052" width="2.375" style="249" customWidth="1"/>
    <col min="2053" max="2053" width="6.125" style="249" customWidth="1"/>
    <col min="2054" max="2054" width="7.125" style="249" customWidth="1"/>
    <col min="2055" max="2055" width="1.875" style="249" customWidth="1"/>
    <col min="2056" max="2057" width="7.125" style="249" customWidth="1"/>
    <col min="2058" max="2058" width="2.125" style="249" customWidth="1"/>
    <col min="2059" max="2059" width="12.125" style="249" customWidth="1"/>
    <col min="2060" max="2060" width="5.875" style="249" customWidth="1"/>
    <col min="2061" max="2061" width="5.5" style="249" customWidth="1"/>
    <col min="2062" max="2063" width="8.375" style="249" customWidth="1"/>
    <col min="2064" max="2304" width="10" style="249"/>
    <col min="2305" max="2305" width="3.125" style="249" customWidth="1"/>
    <col min="2306" max="2306" width="17.875" style="249" customWidth="1"/>
    <col min="2307" max="2307" width="10" style="249" customWidth="1"/>
    <col min="2308" max="2308" width="2.375" style="249" customWidth="1"/>
    <col min="2309" max="2309" width="6.125" style="249" customWidth="1"/>
    <col min="2310" max="2310" width="7.125" style="249" customWidth="1"/>
    <col min="2311" max="2311" width="1.875" style="249" customWidth="1"/>
    <col min="2312" max="2313" width="7.125" style="249" customWidth="1"/>
    <col min="2314" max="2314" width="2.125" style="249" customWidth="1"/>
    <col min="2315" max="2315" width="12.125" style="249" customWidth="1"/>
    <col min="2316" max="2316" width="5.875" style="249" customWidth="1"/>
    <col min="2317" max="2317" width="5.5" style="249" customWidth="1"/>
    <col min="2318" max="2319" width="8.375" style="249" customWidth="1"/>
    <col min="2320" max="2560" width="10" style="249"/>
    <col min="2561" max="2561" width="3.125" style="249" customWidth="1"/>
    <col min="2562" max="2562" width="17.875" style="249" customWidth="1"/>
    <col min="2563" max="2563" width="10" style="249" customWidth="1"/>
    <col min="2564" max="2564" width="2.375" style="249" customWidth="1"/>
    <col min="2565" max="2565" width="6.125" style="249" customWidth="1"/>
    <col min="2566" max="2566" width="7.125" style="249" customWidth="1"/>
    <col min="2567" max="2567" width="1.875" style="249" customWidth="1"/>
    <col min="2568" max="2569" width="7.125" style="249" customWidth="1"/>
    <col min="2570" max="2570" width="2.125" style="249" customWidth="1"/>
    <col min="2571" max="2571" width="12.125" style="249" customWidth="1"/>
    <col min="2572" max="2572" width="5.875" style="249" customWidth="1"/>
    <col min="2573" max="2573" width="5.5" style="249" customWidth="1"/>
    <col min="2574" max="2575" width="8.375" style="249" customWidth="1"/>
    <col min="2576" max="2816" width="10" style="249"/>
    <col min="2817" max="2817" width="3.125" style="249" customWidth="1"/>
    <col min="2818" max="2818" width="17.875" style="249" customWidth="1"/>
    <col min="2819" max="2819" width="10" style="249" customWidth="1"/>
    <col min="2820" max="2820" width="2.375" style="249" customWidth="1"/>
    <col min="2821" max="2821" width="6.125" style="249" customWidth="1"/>
    <col min="2822" max="2822" width="7.125" style="249" customWidth="1"/>
    <col min="2823" max="2823" width="1.875" style="249" customWidth="1"/>
    <col min="2824" max="2825" width="7.125" style="249" customWidth="1"/>
    <col min="2826" max="2826" width="2.125" style="249" customWidth="1"/>
    <col min="2827" max="2827" width="12.125" style="249" customWidth="1"/>
    <col min="2828" max="2828" width="5.875" style="249" customWidth="1"/>
    <col min="2829" max="2829" width="5.5" style="249" customWidth="1"/>
    <col min="2830" max="2831" width="8.375" style="249" customWidth="1"/>
    <col min="2832" max="3072" width="10" style="249"/>
    <col min="3073" max="3073" width="3.125" style="249" customWidth="1"/>
    <col min="3074" max="3074" width="17.875" style="249" customWidth="1"/>
    <col min="3075" max="3075" width="10" style="249" customWidth="1"/>
    <col min="3076" max="3076" width="2.375" style="249" customWidth="1"/>
    <col min="3077" max="3077" width="6.125" style="249" customWidth="1"/>
    <col min="3078" max="3078" width="7.125" style="249" customWidth="1"/>
    <col min="3079" max="3079" width="1.875" style="249" customWidth="1"/>
    <col min="3080" max="3081" width="7.125" style="249" customWidth="1"/>
    <col min="3082" max="3082" width="2.125" style="249" customWidth="1"/>
    <col min="3083" max="3083" width="12.125" style="249" customWidth="1"/>
    <col min="3084" max="3084" width="5.875" style="249" customWidth="1"/>
    <col min="3085" max="3085" width="5.5" style="249" customWidth="1"/>
    <col min="3086" max="3087" width="8.375" style="249" customWidth="1"/>
    <col min="3088" max="3328" width="10" style="249"/>
    <col min="3329" max="3329" width="3.125" style="249" customWidth="1"/>
    <col min="3330" max="3330" width="17.875" style="249" customWidth="1"/>
    <col min="3331" max="3331" width="10" style="249" customWidth="1"/>
    <col min="3332" max="3332" width="2.375" style="249" customWidth="1"/>
    <col min="3333" max="3333" width="6.125" style="249" customWidth="1"/>
    <col min="3334" max="3334" width="7.125" style="249" customWidth="1"/>
    <col min="3335" max="3335" width="1.875" style="249" customWidth="1"/>
    <col min="3336" max="3337" width="7.125" style="249" customWidth="1"/>
    <col min="3338" max="3338" width="2.125" style="249" customWidth="1"/>
    <col min="3339" max="3339" width="12.125" style="249" customWidth="1"/>
    <col min="3340" max="3340" width="5.875" style="249" customWidth="1"/>
    <col min="3341" max="3341" width="5.5" style="249" customWidth="1"/>
    <col min="3342" max="3343" width="8.375" style="249" customWidth="1"/>
    <col min="3344" max="3584" width="10" style="249"/>
    <col min="3585" max="3585" width="3.125" style="249" customWidth="1"/>
    <col min="3586" max="3586" width="17.875" style="249" customWidth="1"/>
    <col min="3587" max="3587" width="10" style="249" customWidth="1"/>
    <col min="3588" max="3588" width="2.375" style="249" customWidth="1"/>
    <col min="3589" max="3589" width="6.125" style="249" customWidth="1"/>
    <col min="3590" max="3590" width="7.125" style="249" customWidth="1"/>
    <col min="3591" max="3591" width="1.875" style="249" customWidth="1"/>
    <col min="3592" max="3593" width="7.125" style="249" customWidth="1"/>
    <col min="3594" max="3594" width="2.125" style="249" customWidth="1"/>
    <col min="3595" max="3595" width="12.125" style="249" customWidth="1"/>
    <col min="3596" max="3596" width="5.875" style="249" customWidth="1"/>
    <col min="3597" max="3597" width="5.5" style="249" customWidth="1"/>
    <col min="3598" max="3599" width="8.375" style="249" customWidth="1"/>
    <col min="3600" max="3840" width="10" style="249"/>
    <col min="3841" max="3841" width="3.125" style="249" customWidth="1"/>
    <col min="3842" max="3842" width="17.875" style="249" customWidth="1"/>
    <col min="3843" max="3843" width="10" style="249" customWidth="1"/>
    <col min="3844" max="3844" width="2.375" style="249" customWidth="1"/>
    <col min="3845" max="3845" width="6.125" style="249" customWidth="1"/>
    <col min="3846" max="3846" width="7.125" style="249" customWidth="1"/>
    <col min="3847" max="3847" width="1.875" style="249" customWidth="1"/>
    <col min="3848" max="3849" width="7.125" style="249" customWidth="1"/>
    <col min="3850" max="3850" width="2.125" style="249" customWidth="1"/>
    <col min="3851" max="3851" width="12.125" style="249" customWidth="1"/>
    <col min="3852" max="3852" width="5.875" style="249" customWidth="1"/>
    <col min="3853" max="3853" width="5.5" style="249" customWidth="1"/>
    <col min="3854" max="3855" width="8.375" style="249" customWidth="1"/>
    <col min="3856" max="4096" width="10" style="249"/>
    <col min="4097" max="4097" width="3.125" style="249" customWidth="1"/>
    <col min="4098" max="4098" width="17.875" style="249" customWidth="1"/>
    <col min="4099" max="4099" width="10" style="249" customWidth="1"/>
    <col min="4100" max="4100" width="2.375" style="249" customWidth="1"/>
    <col min="4101" max="4101" width="6.125" style="249" customWidth="1"/>
    <col min="4102" max="4102" width="7.125" style="249" customWidth="1"/>
    <col min="4103" max="4103" width="1.875" style="249" customWidth="1"/>
    <col min="4104" max="4105" width="7.125" style="249" customWidth="1"/>
    <col min="4106" max="4106" width="2.125" style="249" customWidth="1"/>
    <col min="4107" max="4107" width="12.125" style="249" customWidth="1"/>
    <col min="4108" max="4108" width="5.875" style="249" customWidth="1"/>
    <col min="4109" max="4109" width="5.5" style="249" customWidth="1"/>
    <col min="4110" max="4111" width="8.375" style="249" customWidth="1"/>
    <col min="4112" max="4352" width="10" style="249"/>
    <col min="4353" max="4353" width="3.125" style="249" customWidth="1"/>
    <col min="4354" max="4354" width="17.875" style="249" customWidth="1"/>
    <col min="4355" max="4355" width="10" style="249" customWidth="1"/>
    <col min="4356" max="4356" width="2.375" style="249" customWidth="1"/>
    <col min="4357" max="4357" width="6.125" style="249" customWidth="1"/>
    <col min="4358" max="4358" width="7.125" style="249" customWidth="1"/>
    <col min="4359" max="4359" width="1.875" style="249" customWidth="1"/>
    <col min="4360" max="4361" width="7.125" style="249" customWidth="1"/>
    <col min="4362" max="4362" width="2.125" style="249" customWidth="1"/>
    <col min="4363" max="4363" width="12.125" style="249" customWidth="1"/>
    <col min="4364" max="4364" width="5.875" style="249" customWidth="1"/>
    <col min="4365" max="4365" width="5.5" style="249" customWidth="1"/>
    <col min="4366" max="4367" width="8.375" style="249" customWidth="1"/>
    <col min="4368" max="4608" width="10" style="249"/>
    <col min="4609" max="4609" width="3.125" style="249" customWidth="1"/>
    <col min="4610" max="4610" width="17.875" style="249" customWidth="1"/>
    <col min="4611" max="4611" width="10" style="249" customWidth="1"/>
    <col min="4612" max="4612" width="2.375" style="249" customWidth="1"/>
    <col min="4613" max="4613" width="6.125" style="249" customWidth="1"/>
    <col min="4614" max="4614" width="7.125" style="249" customWidth="1"/>
    <col min="4615" max="4615" width="1.875" style="249" customWidth="1"/>
    <col min="4616" max="4617" width="7.125" style="249" customWidth="1"/>
    <col min="4618" max="4618" width="2.125" style="249" customWidth="1"/>
    <col min="4619" max="4619" width="12.125" style="249" customWidth="1"/>
    <col min="4620" max="4620" width="5.875" style="249" customWidth="1"/>
    <col min="4621" max="4621" width="5.5" style="249" customWidth="1"/>
    <col min="4622" max="4623" width="8.375" style="249" customWidth="1"/>
    <col min="4624" max="4864" width="10" style="249"/>
    <col min="4865" max="4865" width="3.125" style="249" customWidth="1"/>
    <col min="4866" max="4866" width="17.875" style="249" customWidth="1"/>
    <col min="4867" max="4867" width="10" style="249" customWidth="1"/>
    <col min="4868" max="4868" width="2.375" style="249" customWidth="1"/>
    <col min="4869" max="4869" width="6.125" style="249" customWidth="1"/>
    <col min="4870" max="4870" width="7.125" style="249" customWidth="1"/>
    <col min="4871" max="4871" width="1.875" style="249" customWidth="1"/>
    <col min="4872" max="4873" width="7.125" style="249" customWidth="1"/>
    <col min="4874" max="4874" width="2.125" style="249" customWidth="1"/>
    <col min="4875" max="4875" width="12.125" style="249" customWidth="1"/>
    <col min="4876" max="4876" width="5.875" style="249" customWidth="1"/>
    <col min="4877" max="4877" width="5.5" style="249" customWidth="1"/>
    <col min="4878" max="4879" width="8.375" style="249" customWidth="1"/>
    <col min="4880" max="5120" width="10" style="249"/>
    <col min="5121" max="5121" width="3.125" style="249" customWidth="1"/>
    <col min="5122" max="5122" width="17.875" style="249" customWidth="1"/>
    <col min="5123" max="5123" width="10" style="249" customWidth="1"/>
    <col min="5124" max="5124" width="2.375" style="249" customWidth="1"/>
    <col min="5125" max="5125" width="6.125" style="249" customWidth="1"/>
    <col min="5126" max="5126" width="7.125" style="249" customWidth="1"/>
    <col min="5127" max="5127" width="1.875" style="249" customWidth="1"/>
    <col min="5128" max="5129" width="7.125" style="249" customWidth="1"/>
    <col min="5130" max="5130" width="2.125" style="249" customWidth="1"/>
    <col min="5131" max="5131" width="12.125" style="249" customWidth="1"/>
    <col min="5132" max="5132" width="5.875" style="249" customWidth="1"/>
    <col min="5133" max="5133" width="5.5" style="249" customWidth="1"/>
    <col min="5134" max="5135" width="8.375" style="249" customWidth="1"/>
    <col min="5136" max="5376" width="10" style="249"/>
    <col min="5377" max="5377" width="3.125" style="249" customWidth="1"/>
    <col min="5378" max="5378" width="17.875" style="249" customWidth="1"/>
    <col min="5379" max="5379" width="10" style="249" customWidth="1"/>
    <col min="5380" max="5380" width="2.375" style="249" customWidth="1"/>
    <col min="5381" max="5381" width="6.125" style="249" customWidth="1"/>
    <col min="5382" max="5382" width="7.125" style="249" customWidth="1"/>
    <col min="5383" max="5383" width="1.875" style="249" customWidth="1"/>
    <col min="5384" max="5385" width="7.125" style="249" customWidth="1"/>
    <col min="5386" max="5386" width="2.125" style="249" customWidth="1"/>
    <col min="5387" max="5387" width="12.125" style="249" customWidth="1"/>
    <col min="5388" max="5388" width="5.875" style="249" customWidth="1"/>
    <col min="5389" max="5389" width="5.5" style="249" customWidth="1"/>
    <col min="5390" max="5391" width="8.375" style="249" customWidth="1"/>
    <col min="5392" max="5632" width="10" style="249"/>
    <col min="5633" max="5633" width="3.125" style="249" customWidth="1"/>
    <col min="5634" max="5634" width="17.875" style="249" customWidth="1"/>
    <col min="5635" max="5635" width="10" style="249" customWidth="1"/>
    <col min="5636" max="5636" width="2.375" style="249" customWidth="1"/>
    <col min="5637" max="5637" width="6.125" style="249" customWidth="1"/>
    <col min="5638" max="5638" width="7.125" style="249" customWidth="1"/>
    <col min="5639" max="5639" width="1.875" style="249" customWidth="1"/>
    <col min="5640" max="5641" width="7.125" style="249" customWidth="1"/>
    <col min="5642" max="5642" width="2.125" style="249" customWidth="1"/>
    <col min="5643" max="5643" width="12.125" style="249" customWidth="1"/>
    <col min="5644" max="5644" width="5.875" style="249" customWidth="1"/>
    <col min="5645" max="5645" width="5.5" style="249" customWidth="1"/>
    <col min="5646" max="5647" width="8.375" style="249" customWidth="1"/>
    <col min="5648" max="5888" width="10" style="249"/>
    <col min="5889" max="5889" width="3.125" style="249" customWidth="1"/>
    <col min="5890" max="5890" width="17.875" style="249" customWidth="1"/>
    <col min="5891" max="5891" width="10" style="249" customWidth="1"/>
    <col min="5892" max="5892" width="2.375" style="249" customWidth="1"/>
    <col min="5893" max="5893" width="6.125" style="249" customWidth="1"/>
    <col min="5894" max="5894" width="7.125" style="249" customWidth="1"/>
    <col min="5895" max="5895" width="1.875" style="249" customWidth="1"/>
    <col min="5896" max="5897" width="7.125" style="249" customWidth="1"/>
    <col min="5898" max="5898" width="2.125" style="249" customWidth="1"/>
    <col min="5899" max="5899" width="12.125" style="249" customWidth="1"/>
    <col min="5900" max="5900" width="5.875" style="249" customWidth="1"/>
    <col min="5901" max="5901" width="5.5" style="249" customWidth="1"/>
    <col min="5902" max="5903" width="8.375" style="249" customWidth="1"/>
    <col min="5904" max="6144" width="10" style="249"/>
    <col min="6145" max="6145" width="3.125" style="249" customWidth="1"/>
    <col min="6146" max="6146" width="17.875" style="249" customWidth="1"/>
    <col min="6147" max="6147" width="10" style="249" customWidth="1"/>
    <col min="6148" max="6148" width="2.375" style="249" customWidth="1"/>
    <col min="6149" max="6149" width="6.125" style="249" customWidth="1"/>
    <col min="6150" max="6150" width="7.125" style="249" customWidth="1"/>
    <col min="6151" max="6151" width="1.875" style="249" customWidth="1"/>
    <col min="6152" max="6153" width="7.125" style="249" customWidth="1"/>
    <col min="6154" max="6154" width="2.125" style="249" customWidth="1"/>
    <col min="6155" max="6155" width="12.125" style="249" customWidth="1"/>
    <col min="6156" max="6156" width="5.875" style="249" customWidth="1"/>
    <col min="6157" max="6157" width="5.5" style="249" customWidth="1"/>
    <col min="6158" max="6159" width="8.375" style="249" customWidth="1"/>
    <col min="6160" max="6400" width="10" style="249"/>
    <col min="6401" max="6401" width="3.125" style="249" customWidth="1"/>
    <col min="6402" max="6402" width="17.875" style="249" customWidth="1"/>
    <col min="6403" max="6403" width="10" style="249" customWidth="1"/>
    <col min="6404" max="6404" width="2.375" style="249" customWidth="1"/>
    <col min="6405" max="6405" width="6.125" style="249" customWidth="1"/>
    <col min="6406" max="6406" width="7.125" style="249" customWidth="1"/>
    <col min="6407" max="6407" width="1.875" style="249" customWidth="1"/>
    <col min="6408" max="6409" width="7.125" style="249" customWidth="1"/>
    <col min="6410" max="6410" width="2.125" style="249" customWidth="1"/>
    <col min="6411" max="6411" width="12.125" style="249" customWidth="1"/>
    <col min="6412" max="6412" width="5.875" style="249" customWidth="1"/>
    <col min="6413" max="6413" width="5.5" style="249" customWidth="1"/>
    <col min="6414" max="6415" width="8.375" style="249" customWidth="1"/>
    <col min="6416" max="6656" width="10" style="249"/>
    <col min="6657" max="6657" width="3.125" style="249" customWidth="1"/>
    <col min="6658" max="6658" width="17.875" style="249" customWidth="1"/>
    <col min="6659" max="6659" width="10" style="249" customWidth="1"/>
    <col min="6660" max="6660" width="2.375" style="249" customWidth="1"/>
    <col min="6661" max="6661" width="6.125" style="249" customWidth="1"/>
    <col min="6662" max="6662" width="7.125" style="249" customWidth="1"/>
    <col min="6663" max="6663" width="1.875" style="249" customWidth="1"/>
    <col min="6664" max="6665" width="7.125" style="249" customWidth="1"/>
    <col min="6666" max="6666" width="2.125" style="249" customWidth="1"/>
    <col min="6667" max="6667" width="12.125" style="249" customWidth="1"/>
    <col min="6668" max="6668" width="5.875" style="249" customWidth="1"/>
    <col min="6669" max="6669" width="5.5" style="249" customWidth="1"/>
    <col min="6670" max="6671" width="8.375" style="249" customWidth="1"/>
    <col min="6672" max="6912" width="10" style="249"/>
    <col min="6913" max="6913" width="3.125" style="249" customWidth="1"/>
    <col min="6914" max="6914" width="17.875" style="249" customWidth="1"/>
    <col min="6915" max="6915" width="10" style="249" customWidth="1"/>
    <col min="6916" max="6916" width="2.375" style="249" customWidth="1"/>
    <col min="6917" max="6917" width="6.125" style="249" customWidth="1"/>
    <col min="6918" max="6918" width="7.125" style="249" customWidth="1"/>
    <col min="6919" max="6919" width="1.875" style="249" customWidth="1"/>
    <col min="6920" max="6921" width="7.125" style="249" customWidth="1"/>
    <col min="6922" max="6922" width="2.125" style="249" customWidth="1"/>
    <col min="6923" max="6923" width="12.125" style="249" customWidth="1"/>
    <col min="6924" max="6924" width="5.875" style="249" customWidth="1"/>
    <col min="6925" max="6925" width="5.5" style="249" customWidth="1"/>
    <col min="6926" max="6927" width="8.375" style="249" customWidth="1"/>
    <col min="6928" max="7168" width="10" style="249"/>
    <col min="7169" max="7169" width="3.125" style="249" customWidth="1"/>
    <col min="7170" max="7170" width="17.875" style="249" customWidth="1"/>
    <col min="7171" max="7171" width="10" style="249" customWidth="1"/>
    <col min="7172" max="7172" width="2.375" style="249" customWidth="1"/>
    <col min="7173" max="7173" width="6.125" style="249" customWidth="1"/>
    <col min="7174" max="7174" width="7.125" style="249" customWidth="1"/>
    <col min="7175" max="7175" width="1.875" style="249" customWidth="1"/>
    <col min="7176" max="7177" width="7.125" style="249" customWidth="1"/>
    <col min="7178" max="7178" width="2.125" style="249" customWidth="1"/>
    <col min="7179" max="7179" width="12.125" style="249" customWidth="1"/>
    <col min="7180" max="7180" width="5.875" style="249" customWidth="1"/>
    <col min="7181" max="7181" width="5.5" style="249" customWidth="1"/>
    <col min="7182" max="7183" width="8.375" style="249" customWidth="1"/>
    <col min="7184" max="7424" width="10" style="249"/>
    <col min="7425" max="7425" width="3.125" style="249" customWidth="1"/>
    <col min="7426" max="7426" width="17.875" style="249" customWidth="1"/>
    <col min="7427" max="7427" width="10" style="249" customWidth="1"/>
    <col min="7428" max="7428" width="2.375" style="249" customWidth="1"/>
    <col min="7429" max="7429" width="6.125" style="249" customWidth="1"/>
    <col min="7430" max="7430" width="7.125" style="249" customWidth="1"/>
    <col min="7431" max="7431" width="1.875" style="249" customWidth="1"/>
    <col min="7432" max="7433" width="7.125" style="249" customWidth="1"/>
    <col min="7434" max="7434" width="2.125" style="249" customWidth="1"/>
    <col min="7435" max="7435" width="12.125" style="249" customWidth="1"/>
    <col min="7436" max="7436" width="5.875" style="249" customWidth="1"/>
    <col min="7437" max="7437" width="5.5" style="249" customWidth="1"/>
    <col min="7438" max="7439" width="8.375" style="249" customWidth="1"/>
    <col min="7440" max="7680" width="10" style="249"/>
    <col min="7681" max="7681" width="3.125" style="249" customWidth="1"/>
    <col min="7682" max="7682" width="17.875" style="249" customWidth="1"/>
    <col min="7683" max="7683" width="10" style="249" customWidth="1"/>
    <col min="7684" max="7684" width="2.375" style="249" customWidth="1"/>
    <col min="7685" max="7685" width="6.125" style="249" customWidth="1"/>
    <col min="7686" max="7686" width="7.125" style="249" customWidth="1"/>
    <col min="7687" max="7687" width="1.875" style="249" customWidth="1"/>
    <col min="7688" max="7689" width="7.125" style="249" customWidth="1"/>
    <col min="7690" max="7690" width="2.125" style="249" customWidth="1"/>
    <col min="7691" max="7691" width="12.125" style="249" customWidth="1"/>
    <col min="7692" max="7692" width="5.875" style="249" customWidth="1"/>
    <col min="7693" max="7693" width="5.5" style="249" customWidth="1"/>
    <col min="7694" max="7695" width="8.375" style="249" customWidth="1"/>
    <col min="7696" max="7936" width="10" style="249"/>
    <col min="7937" max="7937" width="3.125" style="249" customWidth="1"/>
    <col min="7938" max="7938" width="17.875" style="249" customWidth="1"/>
    <col min="7939" max="7939" width="10" style="249" customWidth="1"/>
    <col min="7940" max="7940" width="2.375" style="249" customWidth="1"/>
    <col min="7941" max="7941" width="6.125" style="249" customWidth="1"/>
    <col min="7942" max="7942" width="7.125" style="249" customWidth="1"/>
    <col min="7943" max="7943" width="1.875" style="249" customWidth="1"/>
    <col min="7944" max="7945" width="7.125" style="249" customWidth="1"/>
    <col min="7946" max="7946" width="2.125" style="249" customWidth="1"/>
    <col min="7947" max="7947" width="12.125" style="249" customWidth="1"/>
    <col min="7948" max="7948" width="5.875" style="249" customWidth="1"/>
    <col min="7949" max="7949" width="5.5" style="249" customWidth="1"/>
    <col min="7950" max="7951" width="8.375" style="249" customWidth="1"/>
    <col min="7952" max="8192" width="10" style="249"/>
    <col min="8193" max="8193" width="3.125" style="249" customWidth="1"/>
    <col min="8194" max="8194" width="17.875" style="249" customWidth="1"/>
    <col min="8195" max="8195" width="10" style="249" customWidth="1"/>
    <col min="8196" max="8196" width="2.375" style="249" customWidth="1"/>
    <col min="8197" max="8197" width="6.125" style="249" customWidth="1"/>
    <col min="8198" max="8198" width="7.125" style="249" customWidth="1"/>
    <col min="8199" max="8199" width="1.875" style="249" customWidth="1"/>
    <col min="8200" max="8201" width="7.125" style="249" customWidth="1"/>
    <col min="8202" max="8202" width="2.125" style="249" customWidth="1"/>
    <col min="8203" max="8203" width="12.125" style="249" customWidth="1"/>
    <col min="8204" max="8204" width="5.875" style="249" customWidth="1"/>
    <col min="8205" max="8205" width="5.5" style="249" customWidth="1"/>
    <col min="8206" max="8207" width="8.375" style="249" customWidth="1"/>
    <col min="8208" max="8448" width="10" style="249"/>
    <col min="8449" max="8449" width="3.125" style="249" customWidth="1"/>
    <col min="8450" max="8450" width="17.875" style="249" customWidth="1"/>
    <col min="8451" max="8451" width="10" style="249" customWidth="1"/>
    <col min="8452" max="8452" width="2.375" style="249" customWidth="1"/>
    <col min="8453" max="8453" width="6.125" style="249" customWidth="1"/>
    <col min="8454" max="8454" width="7.125" style="249" customWidth="1"/>
    <col min="8455" max="8455" width="1.875" style="249" customWidth="1"/>
    <col min="8456" max="8457" width="7.125" style="249" customWidth="1"/>
    <col min="8458" max="8458" width="2.125" style="249" customWidth="1"/>
    <col min="8459" max="8459" width="12.125" style="249" customWidth="1"/>
    <col min="8460" max="8460" width="5.875" style="249" customWidth="1"/>
    <col min="8461" max="8461" width="5.5" style="249" customWidth="1"/>
    <col min="8462" max="8463" width="8.375" style="249" customWidth="1"/>
    <col min="8464" max="8704" width="10" style="249"/>
    <col min="8705" max="8705" width="3.125" style="249" customWidth="1"/>
    <col min="8706" max="8706" width="17.875" style="249" customWidth="1"/>
    <col min="8707" max="8707" width="10" style="249" customWidth="1"/>
    <col min="8708" max="8708" width="2.375" style="249" customWidth="1"/>
    <col min="8709" max="8709" width="6.125" style="249" customWidth="1"/>
    <col min="8710" max="8710" width="7.125" style="249" customWidth="1"/>
    <col min="8711" max="8711" width="1.875" style="249" customWidth="1"/>
    <col min="8712" max="8713" width="7.125" style="249" customWidth="1"/>
    <col min="8714" max="8714" width="2.125" style="249" customWidth="1"/>
    <col min="8715" max="8715" width="12.125" style="249" customWidth="1"/>
    <col min="8716" max="8716" width="5.875" style="249" customWidth="1"/>
    <col min="8717" max="8717" width="5.5" style="249" customWidth="1"/>
    <col min="8718" max="8719" width="8.375" style="249" customWidth="1"/>
    <col min="8720" max="8960" width="10" style="249"/>
    <col min="8961" max="8961" width="3.125" style="249" customWidth="1"/>
    <col min="8962" max="8962" width="17.875" style="249" customWidth="1"/>
    <col min="8963" max="8963" width="10" style="249" customWidth="1"/>
    <col min="8964" max="8964" width="2.375" style="249" customWidth="1"/>
    <col min="8965" max="8965" width="6.125" style="249" customWidth="1"/>
    <col min="8966" max="8966" width="7.125" style="249" customWidth="1"/>
    <col min="8967" max="8967" width="1.875" style="249" customWidth="1"/>
    <col min="8968" max="8969" width="7.125" style="249" customWidth="1"/>
    <col min="8970" max="8970" width="2.125" style="249" customWidth="1"/>
    <col min="8971" max="8971" width="12.125" style="249" customWidth="1"/>
    <col min="8972" max="8972" width="5.875" style="249" customWidth="1"/>
    <col min="8973" max="8973" width="5.5" style="249" customWidth="1"/>
    <col min="8974" max="8975" width="8.375" style="249" customWidth="1"/>
    <col min="8976" max="9216" width="10" style="249"/>
    <col min="9217" max="9217" width="3.125" style="249" customWidth="1"/>
    <col min="9218" max="9218" width="17.875" style="249" customWidth="1"/>
    <col min="9219" max="9219" width="10" style="249" customWidth="1"/>
    <col min="9220" max="9220" width="2.375" style="249" customWidth="1"/>
    <col min="9221" max="9221" width="6.125" style="249" customWidth="1"/>
    <col min="9222" max="9222" width="7.125" style="249" customWidth="1"/>
    <col min="9223" max="9223" width="1.875" style="249" customWidth="1"/>
    <col min="9224" max="9225" width="7.125" style="249" customWidth="1"/>
    <col min="9226" max="9226" width="2.125" style="249" customWidth="1"/>
    <col min="9227" max="9227" width="12.125" style="249" customWidth="1"/>
    <col min="9228" max="9228" width="5.875" style="249" customWidth="1"/>
    <col min="9229" max="9229" width="5.5" style="249" customWidth="1"/>
    <col min="9230" max="9231" width="8.375" style="249" customWidth="1"/>
    <col min="9232" max="9472" width="10" style="249"/>
    <col min="9473" max="9473" width="3.125" style="249" customWidth="1"/>
    <col min="9474" max="9474" width="17.875" style="249" customWidth="1"/>
    <col min="9475" max="9475" width="10" style="249" customWidth="1"/>
    <col min="9476" max="9476" width="2.375" style="249" customWidth="1"/>
    <col min="9477" max="9477" width="6.125" style="249" customWidth="1"/>
    <col min="9478" max="9478" width="7.125" style="249" customWidth="1"/>
    <col min="9479" max="9479" width="1.875" style="249" customWidth="1"/>
    <col min="9480" max="9481" width="7.125" style="249" customWidth="1"/>
    <col min="9482" max="9482" width="2.125" style="249" customWidth="1"/>
    <col min="9483" max="9483" width="12.125" style="249" customWidth="1"/>
    <col min="9484" max="9484" width="5.875" style="249" customWidth="1"/>
    <col min="9485" max="9485" width="5.5" style="249" customWidth="1"/>
    <col min="9486" max="9487" width="8.375" style="249" customWidth="1"/>
    <col min="9488" max="9728" width="10" style="249"/>
    <col min="9729" max="9729" width="3.125" style="249" customWidth="1"/>
    <col min="9730" max="9730" width="17.875" style="249" customWidth="1"/>
    <col min="9731" max="9731" width="10" style="249" customWidth="1"/>
    <col min="9732" max="9732" width="2.375" style="249" customWidth="1"/>
    <col min="9733" max="9733" width="6.125" style="249" customWidth="1"/>
    <col min="9734" max="9734" width="7.125" style="249" customWidth="1"/>
    <col min="9735" max="9735" width="1.875" style="249" customWidth="1"/>
    <col min="9736" max="9737" width="7.125" style="249" customWidth="1"/>
    <col min="9738" max="9738" width="2.125" style="249" customWidth="1"/>
    <col min="9739" max="9739" width="12.125" style="249" customWidth="1"/>
    <col min="9740" max="9740" width="5.875" style="249" customWidth="1"/>
    <col min="9741" max="9741" width="5.5" style="249" customWidth="1"/>
    <col min="9742" max="9743" width="8.375" style="249" customWidth="1"/>
    <col min="9744" max="9984" width="10" style="249"/>
    <col min="9985" max="9985" width="3.125" style="249" customWidth="1"/>
    <col min="9986" max="9986" width="17.875" style="249" customWidth="1"/>
    <col min="9987" max="9987" width="10" style="249" customWidth="1"/>
    <col min="9988" max="9988" width="2.375" style="249" customWidth="1"/>
    <col min="9989" max="9989" width="6.125" style="249" customWidth="1"/>
    <col min="9990" max="9990" width="7.125" style="249" customWidth="1"/>
    <col min="9991" max="9991" width="1.875" style="249" customWidth="1"/>
    <col min="9992" max="9993" width="7.125" style="249" customWidth="1"/>
    <col min="9994" max="9994" width="2.125" style="249" customWidth="1"/>
    <col min="9995" max="9995" width="12.125" style="249" customWidth="1"/>
    <col min="9996" max="9996" width="5.875" style="249" customWidth="1"/>
    <col min="9997" max="9997" width="5.5" style="249" customWidth="1"/>
    <col min="9998" max="9999" width="8.375" style="249" customWidth="1"/>
    <col min="10000" max="10240" width="10" style="249"/>
    <col min="10241" max="10241" width="3.125" style="249" customWidth="1"/>
    <col min="10242" max="10242" width="17.875" style="249" customWidth="1"/>
    <col min="10243" max="10243" width="10" style="249" customWidth="1"/>
    <col min="10244" max="10244" width="2.375" style="249" customWidth="1"/>
    <col min="10245" max="10245" width="6.125" style="249" customWidth="1"/>
    <col min="10246" max="10246" width="7.125" style="249" customWidth="1"/>
    <col min="10247" max="10247" width="1.875" style="249" customWidth="1"/>
    <col min="10248" max="10249" width="7.125" style="249" customWidth="1"/>
    <col min="10250" max="10250" width="2.125" style="249" customWidth="1"/>
    <col min="10251" max="10251" width="12.125" style="249" customWidth="1"/>
    <col min="10252" max="10252" width="5.875" style="249" customWidth="1"/>
    <col min="10253" max="10253" width="5.5" style="249" customWidth="1"/>
    <col min="10254" max="10255" width="8.375" style="249" customWidth="1"/>
    <col min="10256" max="10496" width="10" style="249"/>
    <col min="10497" max="10497" width="3.125" style="249" customWidth="1"/>
    <col min="10498" max="10498" width="17.875" style="249" customWidth="1"/>
    <col min="10499" max="10499" width="10" style="249" customWidth="1"/>
    <col min="10500" max="10500" width="2.375" style="249" customWidth="1"/>
    <col min="10501" max="10501" width="6.125" style="249" customWidth="1"/>
    <col min="10502" max="10502" width="7.125" style="249" customWidth="1"/>
    <col min="10503" max="10503" width="1.875" style="249" customWidth="1"/>
    <col min="10504" max="10505" width="7.125" style="249" customWidth="1"/>
    <col min="10506" max="10506" width="2.125" style="249" customWidth="1"/>
    <col min="10507" max="10507" width="12.125" style="249" customWidth="1"/>
    <col min="10508" max="10508" width="5.875" style="249" customWidth="1"/>
    <col min="10509" max="10509" width="5.5" style="249" customWidth="1"/>
    <col min="10510" max="10511" width="8.375" style="249" customWidth="1"/>
    <col min="10512" max="10752" width="10" style="249"/>
    <col min="10753" max="10753" width="3.125" style="249" customWidth="1"/>
    <col min="10754" max="10754" width="17.875" style="249" customWidth="1"/>
    <col min="10755" max="10755" width="10" style="249" customWidth="1"/>
    <col min="10756" max="10756" width="2.375" style="249" customWidth="1"/>
    <col min="10757" max="10757" width="6.125" style="249" customWidth="1"/>
    <col min="10758" max="10758" width="7.125" style="249" customWidth="1"/>
    <col min="10759" max="10759" width="1.875" style="249" customWidth="1"/>
    <col min="10760" max="10761" width="7.125" style="249" customWidth="1"/>
    <col min="10762" max="10762" width="2.125" style="249" customWidth="1"/>
    <col min="10763" max="10763" width="12.125" style="249" customWidth="1"/>
    <col min="10764" max="10764" width="5.875" style="249" customWidth="1"/>
    <col min="10765" max="10765" width="5.5" style="249" customWidth="1"/>
    <col min="10766" max="10767" width="8.375" style="249" customWidth="1"/>
    <col min="10768" max="11008" width="10" style="249"/>
    <col min="11009" max="11009" width="3.125" style="249" customWidth="1"/>
    <col min="11010" max="11010" width="17.875" style="249" customWidth="1"/>
    <col min="11011" max="11011" width="10" style="249" customWidth="1"/>
    <col min="11012" max="11012" width="2.375" style="249" customWidth="1"/>
    <col min="11013" max="11013" width="6.125" style="249" customWidth="1"/>
    <col min="11014" max="11014" width="7.125" style="249" customWidth="1"/>
    <col min="11015" max="11015" width="1.875" style="249" customWidth="1"/>
    <col min="11016" max="11017" width="7.125" style="249" customWidth="1"/>
    <col min="11018" max="11018" width="2.125" style="249" customWidth="1"/>
    <col min="11019" max="11019" width="12.125" style="249" customWidth="1"/>
    <col min="11020" max="11020" width="5.875" style="249" customWidth="1"/>
    <col min="11021" max="11021" width="5.5" style="249" customWidth="1"/>
    <col min="11022" max="11023" width="8.375" style="249" customWidth="1"/>
    <col min="11024" max="11264" width="10" style="249"/>
    <col min="11265" max="11265" width="3.125" style="249" customWidth="1"/>
    <col min="11266" max="11266" width="17.875" style="249" customWidth="1"/>
    <col min="11267" max="11267" width="10" style="249" customWidth="1"/>
    <col min="11268" max="11268" width="2.375" style="249" customWidth="1"/>
    <col min="11269" max="11269" width="6.125" style="249" customWidth="1"/>
    <col min="11270" max="11270" width="7.125" style="249" customWidth="1"/>
    <col min="11271" max="11271" width="1.875" style="249" customWidth="1"/>
    <col min="11272" max="11273" width="7.125" style="249" customWidth="1"/>
    <col min="11274" max="11274" width="2.125" style="249" customWidth="1"/>
    <col min="11275" max="11275" width="12.125" style="249" customWidth="1"/>
    <col min="11276" max="11276" width="5.875" style="249" customWidth="1"/>
    <col min="11277" max="11277" width="5.5" style="249" customWidth="1"/>
    <col min="11278" max="11279" width="8.375" style="249" customWidth="1"/>
    <col min="11280" max="11520" width="10" style="249"/>
    <col min="11521" max="11521" width="3.125" style="249" customWidth="1"/>
    <col min="11522" max="11522" width="17.875" style="249" customWidth="1"/>
    <col min="11523" max="11523" width="10" style="249" customWidth="1"/>
    <col min="11524" max="11524" width="2.375" style="249" customWidth="1"/>
    <col min="11525" max="11525" width="6.125" style="249" customWidth="1"/>
    <col min="11526" max="11526" width="7.125" style="249" customWidth="1"/>
    <col min="11527" max="11527" width="1.875" style="249" customWidth="1"/>
    <col min="11528" max="11529" width="7.125" style="249" customWidth="1"/>
    <col min="11530" max="11530" width="2.125" style="249" customWidth="1"/>
    <col min="11531" max="11531" width="12.125" style="249" customWidth="1"/>
    <col min="11532" max="11532" width="5.875" style="249" customWidth="1"/>
    <col min="11533" max="11533" width="5.5" style="249" customWidth="1"/>
    <col min="11534" max="11535" width="8.375" style="249" customWidth="1"/>
    <col min="11536" max="11776" width="10" style="249"/>
    <col min="11777" max="11777" width="3.125" style="249" customWidth="1"/>
    <col min="11778" max="11778" width="17.875" style="249" customWidth="1"/>
    <col min="11779" max="11779" width="10" style="249" customWidth="1"/>
    <col min="11780" max="11780" width="2.375" style="249" customWidth="1"/>
    <col min="11781" max="11781" width="6.125" style="249" customWidth="1"/>
    <col min="11782" max="11782" width="7.125" style="249" customWidth="1"/>
    <col min="11783" max="11783" width="1.875" style="249" customWidth="1"/>
    <col min="11784" max="11785" width="7.125" style="249" customWidth="1"/>
    <col min="11786" max="11786" width="2.125" style="249" customWidth="1"/>
    <col min="11787" max="11787" width="12.125" style="249" customWidth="1"/>
    <col min="11788" max="11788" width="5.875" style="249" customWidth="1"/>
    <col min="11789" max="11789" width="5.5" style="249" customWidth="1"/>
    <col min="11790" max="11791" width="8.375" style="249" customWidth="1"/>
    <col min="11792" max="12032" width="10" style="249"/>
    <col min="12033" max="12033" width="3.125" style="249" customWidth="1"/>
    <col min="12034" max="12034" width="17.875" style="249" customWidth="1"/>
    <col min="12035" max="12035" width="10" style="249" customWidth="1"/>
    <col min="12036" max="12036" width="2.375" style="249" customWidth="1"/>
    <col min="12037" max="12037" width="6.125" style="249" customWidth="1"/>
    <col min="12038" max="12038" width="7.125" style="249" customWidth="1"/>
    <col min="12039" max="12039" width="1.875" style="249" customWidth="1"/>
    <col min="12040" max="12041" width="7.125" style="249" customWidth="1"/>
    <col min="12042" max="12042" width="2.125" style="249" customWidth="1"/>
    <col min="12043" max="12043" width="12.125" style="249" customWidth="1"/>
    <col min="12044" max="12044" width="5.875" style="249" customWidth="1"/>
    <col min="12045" max="12045" width="5.5" style="249" customWidth="1"/>
    <col min="12046" max="12047" width="8.375" style="249" customWidth="1"/>
    <col min="12048" max="12288" width="10" style="249"/>
    <col min="12289" max="12289" width="3.125" style="249" customWidth="1"/>
    <col min="12290" max="12290" width="17.875" style="249" customWidth="1"/>
    <col min="12291" max="12291" width="10" style="249" customWidth="1"/>
    <col min="12292" max="12292" width="2.375" style="249" customWidth="1"/>
    <col min="12293" max="12293" width="6.125" style="249" customWidth="1"/>
    <col min="12294" max="12294" width="7.125" style="249" customWidth="1"/>
    <col min="12295" max="12295" width="1.875" style="249" customWidth="1"/>
    <col min="12296" max="12297" width="7.125" style="249" customWidth="1"/>
    <col min="12298" max="12298" width="2.125" style="249" customWidth="1"/>
    <col min="12299" max="12299" width="12.125" style="249" customWidth="1"/>
    <col min="12300" max="12300" width="5.875" style="249" customWidth="1"/>
    <col min="12301" max="12301" width="5.5" style="249" customWidth="1"/>
    <col min="12302" max="12303" width="8.375" style="249" customWidth="1"/>
    <col min="12304" max="12544" width="10" style="249"/>
    <col min="12545" max="12545" width="3.125" style="249" customWidth="1"/>
    <col min="12546" max="12546" width="17.875" style="249" customWidth="1"/>
    <col min="12547" max="12547" width="10" style="249" customWidth="1"/>
    <col min="12548" max="12548" width="2.375" style="249" customWidth="1"/>
    <col min="12549" max="12549" width="6.125" style="249" customWidth="1"/>
    <col min="12550" max="12550" width="7.125" style="249" customWidth="1"/>
    <col min="12551" max="12551" width="1.875" style="249" customWidth="1"/>
    <col min="12552" max="12553" width="7.125" style="249" customWidth="1"/>
    <col min="12554" max="12554" width="2.125" style="249" customWidth="1"/>
    <col min="12555" max="12555" width="12.125" style="249" customWidth="1"/>
    <col min="12556" max="12556" width="5.875" style="249" customWidth="1"/>
    <col min="12557" max="12557" width="5.5" style="249" customWidth="1"/>
    <col min="12558" max="12559" width="8.375" style="249" customWidth="1"/>
    <col min="12560" max="12800" width="10" style="249"/>
    <col min="12801" max="12801" width="3.125" style="249" customWidth="1"/>
    <col min="12802" max="12802" width="17.875" style="249" customWidth="1"/>
    <col min="12803" max="12803" width="10" style="249" customWidth="1"/>
    <col min="12804" max="12804" width="2.375" style="249" customWidth="1"/>
    <col min="12805" max="12805" width="6.125" style="249" customWidth="1"/>
    <col min="12806" max="12806" width="7.125" style="249" customWidth="1"/>
    <col min="12807" max="12807" width="1.875" style="249" customWidth="1"/>
    <col min="12808" max="12809" width="7.125" style="249" customWidth="1"/>
    <col min="12810" max="12810" width="2.125" style="249" customWidth="1"/>
    <col min="12811" max="12811" width="12.125" style="249" customWidth="1"/>
    <col min="12812" max="12812" width="5.875" style="249" customWidth="1"/>
    <col min="12813" max="12813" width="5.5" style="249" customWidth="1"/>
    <col min="12814" max="12815" width="8.375" style="249" customWidth="1"/>
    <col min="12816" max="13056" width="10" style="249"/>
    <col min="13057" max="13057" width="3.125" style="249" customWidth="1"/>
    <col min="13058" max="13058" width="17.875" style="249" customWidth="1"/>
    <col min="13059" max="13059" width="10" style="249" customWidth="1"/>
    <col min="13060" max="13060" width="2.375" style="249" customWidth="1"/>
    <col min="13061" max="13061" width="6.125" style="249" customWidth="1"/>
    <col min="13062" max="13062" width="7.125" style="249" customWidth="1"/>
    <col min="13063" max="13063" width="1.875" style="249" customWidth="1"/>
    <col min="13064" max="13065" width="7.125" style="249" customWidth="1"/>
    <col min="13066" max="13066" width="2.125" style="249" customWidth="1"/>
    <col min="13067" max="13067" width="12.125" style="249" customWidth="1"/>
    <col min="13068" max="13068" width="5.875" style="249" customWidth="1"/>
    <col min="13069" max="13069" width="5.5" style="249" customWidth="1"/>
    <col min="13070" max="13071" width="8.375" style="249" customWidth="1"/>
    <col min="13072" max="13312" width="10" style="249"/>
    <col min="13313" max="13313" width="3.125" style="249" customWidth="1"/>
    <col min="13314" max="13314" width="17.875" style="249" customWidth="1"/>
    <col min="13315" max="13315" width="10" style="249" customWidth="1"/>
    <col min="13316" max="13316" width="2.375" style="249" customWidth="1"/>
    <col min="13317" max="13317" width="6.125" style="249" customWidth="1"/>
    <col min="13318" max="13318" width="7.125" style="249" customWidth="1"/>
    <col min="13319" max="13319" width="1.875" style="249" customWidth="1"/>
    <col min="13320" max="13321" width="7.125" style="249" customWidth="1"/>
    <col min="13322" max="13322" width="2.125" style="249" customWidth="1"/>
    <col min="13323" max="13323" width="12.125" style="249" customWidth="1"/>
    <col min="13324" max="13324" width="5.875" style="249" customWidth="1"/>
    <col min="13325" max="13325" width="5.5" style="249" customWidth="1"/>
    <col min="13326" max="13327" width="8.375" style="249" customWidth="1"/>
    <col min="13328" max="13568" width="10" style="249"/>
    <col min="13569" max="13569" width="3.125" style="249" customWidth="1"/>
    <col min="13570" max="13570" width="17.875" style="249" customWidth="1"/>
    <col min="13571" max="13571" width="10" style="249" customWidth="1"/>
    <col min="13572" max="13572" width="2.375" style="249" customWidth="1"/>
    <col min="13573" max="13573" width="6.125" style="249" customWidth="1"/>
    <col min="13574" max="13574" width="7.125" style="249" customWidth="1"/>
    <col min="13575" max="13575" width="1.875" style="249" customWidth="1"/>
    <col min="13576" max="13577" width="7.125" style="249" customWidth="1"/>
    <col min="13578" max="13578" width="2.125" style="249" customWidth="1"/>
    <col min="13579" max="13579" width="12.125" style="249" customWidth="1"/>
    <col min="13580" max="13580" width="5.875" style="249" customWidth="1"/>
    <col min="13581" max="13581" width="5.5" style="249" customWidth="1"/>
    <col min="13582" max="13583" width="8.375" style="249" customWidth="1"/>
    <col min="13584" max="13824" width="10" style="249"/>
    <col min="13825" max="13825" width="3.125" style="249" customWidth="1"/>
    <col min="13826" max="13826" width="17.875" style="249" customWidth="1"/>
    <col min="13827" max="13827" width="10" style="249" customWidth="1"/>
    <col min="13828" max="13828" width="2.375" style="249" customWidth="1"/>
    <col min="13829" max="13829" width="6.125" style="249" customWidth="1"/>
    <col min="13830" max="13830" width="7.125" style="249" customWidth="1"/>
    <col min="13831" max="13831" width="1.875" style="249" customWidth="1"/>
    <col min="13832" max="13833" width="7.125" style="249" customWidth="1"/>
    <col min="13834" max="13834" width="2.125" style="249" customWidth="1"/>
    <col min="13835" max="13835" width="12.125" style="249" customWidth="1"/>
    <col min="13836" max="13836" width="5.875" style="249" customWidth="1"/>
    <col min="13837" max="13837" width="5.5" style="249" customWidth="1"/>
    <col min="13838" max="13839" width="8.375" style="249" customWidth="1"/>
    <col min="13840" max="14080" width="10" style="249"/>
    <col min="14081" max="14081" width="3.125" style="249" customWidth="1"/>
    <col min="14082" max="14082" width="17.875" style="249" customWidth="1"/>
    <col min="14083" max="14083" width="10" style="249" customWidth="1"/>
    <col min="14084" max="14084" width="2.375" style="249" customWidth="1"/>
    <col min="14085" max="14085" width="6.125" style="249" customWidth="1"/>
    <col min="14086" max="14086" width="7.125" style="249" customWidth="1"/>
    <col min="14087" max="14087" width="1.875" style="249" customWidth="1"/>
    <col min="14088" max="14089" width="7.125" style="249" customWidth="1"/>
    <col min="14090" max="14090" width="2.125" style="249" customWidth="1"/>
    <col min="14091" max="14091" width="12.125" style="249" customWidth="1"/>
    <col min="14092" max="14092" width="5.875" style="249" customWidth="1"/>
    <col min="14093" max="14093" width="5.5" style="249" customWidth="1"/>
    <col min="14094" max="14095" width="8.375" style="249" customWidth="1"/>
    <col min="14096" max="14336" width="10" style="249"/>
    <col min="14337" max="14337" width="3.125" style="249" customWidth="1"/>
    <col min="14338" max="14338" width="17.875" style="249" customWidth="1"/>
    <col min="14339" max="14339" width="10" style="249" customWidth="1"/>
    <col min="14340" max="14340" width="2.375" style="249" customWidth="1"/>
    <col min="14341" max="14341" width="6.125" style="249" customWidth="1"/>
    <col min="14342" max="14342" width="7.125" style="249" customWidth="1"/>
    <col min="14343" max="14343" width="1.875" style="249" customWidth="1"/>
    <col min="14344" max="14345" width="7.125" style="249" customWidth="1"/>
    <col min="14346" max="14346" width="2.125" style="249" customWidth="1"/>
    <col min="14347" max="14347" width="12.125" style="249" customWidth="1"/>
    <col min="14348" max="14348" width="5.875" style="249" customWidth="1"/>
    <col min="14349" max="14349" width="5.5" style="249" customWidth="1"/>
    <col min="14350" max="14351" width="8.375" style="249" customWidth="1"/>
    <col min="14352" max="14592" width="10" style="249"/>
    <col min="14593" max="14593" width="3.125" style="249" customWidth="1"/>
    <col min="14594" max="14594" width="17.875" style="249" customWidth="1"/>
    <col min="14595" max="14595" width="10" style="249" customWidth="1"/>
    <col min="14596" max="14596" width="2.375" style="249" customWidth="1"/>
    <col min="14597" max="14597" width="6.125" style="249" customWidth="1"/>
    <col min="14598" max="14598" width="7.125" style="249" customWidth="1"/>
    <col min="14599" max="14599" width="1.875" style="249" customWidth="1"/>
    <col min="14600" max="14601" width="7.125" style="249" customWidth="1"/>
    <col min="14602" max="14602" width="2.125" style="249" customWidth="1"/>
    <col min="14603" max="14603" width="12.125" style="249" customWidth="1"/>
    <col min="14604" max="14604" width="5.875" style="249" customWidth="1"/>
    <col min="14605" max="14605" width="5.5" style="249" customWidth="1"/>
    <col min="14606" max="14607" width="8.375" style="249" customWidth="1"/>
    <col min="14608" max="14848" width="10" style="249"/>
    <col min="14849" max="14849" width="3.125" style="249" customWidth="1"/>
    <col min="14850" max="14850" width="17.875" style="249" customWidth="1"/>
    <col min="14851" max="14851" width="10" style="249" customWidth="1"/>
    <col min="14852" max="14852" width="2.375" style="249" customWidth="1"/>
    <col min="14853" max="14853" width="6.125" style="249" customWidth="1"/>
    <col min="14854" max="14854" width="7.125" style="249" customWidth="1"/>
    <col min="14855" max="14855" width="1.875" style="249" customWidth="1"/>
    <col min="14856" max="14857" width="7.125" style="249" customWidth="1"/>
    <col min="14858" max="14858" width="2.125" style="249" customWidth="1"/>
    <col min="14859" max="14859" width="12.125" style="249" customWidth="1"/>
    <col min="14860" max="14860" width="5.875" style="249" customWidth="1"/>
    <col min="14861" max="14861" width="5.5" style="249" customWidth="1"/>
    <col min="14862" max="14863" width="8.375" style="249" customWidth="1"/>
    <col min="14864" max="15104" width="10" style="249"/>
    <col min="15105" max="15105" width="3.125" style="249" customWidth="1"/>
    <col min="15106" max="15106" width="17.875" style="249" customWidth="1"/>
    <col min="15107" max="15107" width="10" style="249" customWidth="1"/>
    <col min="15108" max="15108" width="2.375" style="249" customWidth="1"/>
    <col min="15109" max="15109" width="6.125" style="249" customWidth="1"/>
    <col min="15110" max="15110" width="7.125" style="249" customWidth="1"/>
    <col min="15111" max="15111" width="1.875" style="249" customWidth="1"/>
    <col min="15112" max="15113" width="7.125" style="249" customWidth="1"/>
    <col min="15114" max="15114" width="2.125" style="249" customWidth="1"/>
    <col min="15115" max="15115" width="12.125" style="249" customWidth="1"/>
    <col min="15116" max="15116" width="5.875" style="249" customWidth="1"/>
    <col min="15117" max="15117" width="5.5" style="249" customWidth="1"/>
    <col min="15118" max="15119" width="8.375" style="249" customWidth="1"/>
    <col min="15120" max="15360" width="10" style="249"/>
    <col min="15361" max="15361" width="3.125" style="249" customWidth="1"/>
    <col min="15362" max="15362" width="17.875" style="249" customWidth="1"/>
    <col min="15363" max="15363" width="10" style="249" customWidth="1"/>
    <col min="15364" max="15364" width="2.375" style="249" customWidth="1"/>
    <col min="15365" max="15365" width="6.125" style="249" customWidth="1"/>
    <col min="15366" max="15366" width="7.125" style="249" customWidth="1"/>
    <col min="15367" max="15367" width="1.875" style="249" customWidth="1"/>
    <col min="15368" max="15369" width="7.125" style="249" customWidth="1"/>
    <col min="15370" max="15370" width="2.125" style="249" customWidth="1"/>
    <col min="15371" max="15371" width="12.125" style="249" customWidth="1"/>
    <col min="15372" max="15372" width="5.875" style="249" customWidth="1"/>
    <col min="15373" max="15373" width="5.5" style="249" customWidth="1"/>
    <col min="15374" max="15375" width="8.375" style="249" customWidth="1"/>
    <col min="15376" max="15616" width="10" style="249"/>
    <col min="15617" max="15617" width="3.125" style="249" customWidth="1"/>
    <col min="15618" max="15618" width="17.875" style="249" customWidth="1"/>
    <col min="15619" max="15619" width="10" style="249" customWidth="1"/>
    <col min="15620" max="15620" width="2.375" style="249" customWidth="1"/>
    <col min="15621" max="15621" width="6.125" style="249" customWidth="1"/>
    <col min="15622" max="15622" width="7.125" style="249" customWidth="1"/>
    <col min="15623" max="15623" width="1.875" style="249" customWidth="1"/>
    <col min="15624" max="15625" width="7.125" style="249" customWidth="1"/>
    <col min="15626" max="15626" width="2.125" style="249" customWidth="1"/>
    <col min="15627" max="15627" width="12.125" style="249" customWidth="1"/>
    <col min="15628" max="15628" width="5.875" style="249" customWidth="1"/>
    <col min="15629" max="15629" width="5.5" style="249" customWidth="1"/>
    <col min="15630" max="15631" width="8.375" style="249" customWidth="1"/>
    <col min="15632" max="15872" width="10" style="249"/>
    <col min="15873" max="15873" width="3.125" style="249" customWidth="1"/>
    <col min="15874" max="15874" width="17.875" style="249" customWidth="1"/>
    <col min="15875" max="15875" width="10" style="249" customWidth="1"/>
    <col min="15876" max="15876" width="2.375" style="249" customWidth="1"/>
    <col min="15877" max="15877" width="6.125" style="249" customWidth="1"/>
    <col min="15878" max="15878" width="7.125" style="249" customWidth="1"/>
    <col min="15879" max="15879" width="1.875" style="249" customWidth="1"/>
    <col min="15880" max="15881" width="7.125" style="249" customWidth="1"/>
    <col min="15882" max="15882" width="2.125" style="249" customWidth="1"/>
    <col min="15883" max="15883" width="12.125" style="249" customWidth="1"/>
    <col min="15884" max="15884" width="5.875" style="249" customWidth="1"/>
    <col min="15885" max="15885" width="5.5" style="249" customWidth="1"/>
    <col min="15886" max="15887" width="8.375" style="249" customWidth="1"/>
    <col min="15888" max="16128" width="10" style="249"/>
    <col min="16129" max="16129" width="3.125" style="249" customWidth="1"/>
    <col min="16130" max="16130" width="17.875" style="249" customWidth="1"/>
    <col min="16131" max="16131" width="10" style="249" customWidth="1"/>
    <col min="16132" max="16132" width="2.375" style="249" customWidth="1"/>
    <col min="16133" max="16133" width="6.125" style="249" customWidth="1"/>
    <col min="16134" max="16134" width="7.125" style="249" customWidth="1"/>
    <col min="16135" max="16135" width="1.875" style="249" customWidth="1"/>
    <col min="16136" max="16137" width="7.125" style="249" customWidth="1"/>
    <col min="16138" max="16138" width="2.125" style="249" customWidth="1"/>
    <col min="16139" max="16139" width="12.125" style="249" customWidth="1"/>
    <col min="16140" max="16140" width="5.875" style="249" customWidth="1"/>
    <col min="16141" max="16141" width="5.5" style="249" customWidth="1"/>
    <col min="16142" max="16143" width="8.375" style="249" customWidth="1"/>
    <col min="16144" max="16384" width="10" style="249"/>
  </cols>
  <sheetData>
    <row r="1" spans="1:15" ht="14.25" customHeight="1">
      <c r="A1" s="247" t="s">
        <v>323</v>
      </c>
      <c r="B1" s="248"/>
      <c r="N1" s="250" t="s">
        <v>324</v>
      </c>
      <c r="O1" s="250" t="s">
        <v>325</v>
      </c>
    </row>
    <row r="2" spans="1:15" ht="14.25" customHeight="1">
      <c r="A2" s="251" t="s">
        <v>326</v>
      </c>
      <c r="B2" s="252" t="s">
        <v>327</v>
      </c>
    </row>
    <row r="3" spans="1:15" ht="14.25" customHeight="1">
      <c r="B3" s="253" t="s">
        <v>328</v>
      </c>
      <c r="C3" s="807">
        <v>2</v>
      </c>
      <c r="D3" s="808"/>
      <c r="E3" s="808"/>
      <c r="F3" s="809"/>
      <c r="G3" s="247"/>
    </row>
    <row r="4" spans="1:15" ht="14.25" customHeight="1">
      <c r="B4" s="254" t="s">
        <v>329</v>
      </c>
      <c r="C4" s="810" t="str">
        <f>①技術体系!D2</f>
        <v>中間～山間</v>
      </c>
      <c r="D4" s="811"/>
      <c r="E4" s="811"/>
      <c r="F4" s="806"/>
    </row>
    <row r="5" spans="1:15" ht="14.25" customHeight="1">
      <c r="B5" s="255" t="s">
        <v>330</v>
      </c>
      <c r="C5" s="812" t="str">
        <f>①技術体系!A2</f>
        <v>トマト</v>
      </c>
      <c r="D5" s="811"/>
      <c r="E5" s="811"/>
      <c r="F5" s="806"/>
    </row>
    <row r="6" spans="1:15" ht="14.25" customHeight="1">
      <c r="B6" s="813" t="s">
        <v>331</v>
      </c>
      <c r="C6" s="816" t="str">
        <f>①技術体系!B2&amp;"　、"&amp;①技術体系!C2&amp;"、"&amp;④収入!B3&amp;④収入!C3&amp;④収入!D3&amp;"、"&amp;④収入!F2&amp;④収入!F3*100&amp;"%"</f>
        <v>夏秋トマト_低段密植年２作　、麗夏等、植付本数5000本、商品化率80%</v>
      </c>
      <c r="D6" s="817"/>
      <c r="E6" s="817"/>
      <c r="F6" s="818"/>
    </row>
    <row r="7" spans="1:15" ht="14.25" customHeight="1">
      <c r="B7" s="814"/>
      <c r="C7" s="819"/>
      <c r="D7" s="819"/>
      <c r="E7" s="819"/>
      <c r="F7" s="820"/>
    </row>
    <row r="8" spans="1:15" ht="14.25" customHeight="1">
      <c r="B8" s="814"/>
      <c r="C8" s="819"/>
      <c r="D8" s="819"/>
      <c r="E8" s="819"/>
      <c r="F8" s="820"/>
    </row>
    <row r="9" spans="1:15">
      <c r="B9" s="815"/>
      <c r="C9" s="821"/>
      <c r="D9" s="821"/>
      <c r="E9" s="821"/>
      <c r="F9" s="821"/>
    </row>
    <row r="10" spans="1:15" ht="14.25" customHeight="1">
      <c r="B10" s="252" t="s">
        <v>332</v>
      </c>
      <c r="E10" s="252" t="s">
        <v>333</v>
      </c>
      <c r="K10" s="252" t="s">
        <v>334</v>
      </c>
      <c r="M10" s="256"/>
    </row>
    <row r="11" spans="1:15" ht="14.25" customHeight="1">
      <c r="B11" s="253" t="s">
        <v>335</v>
      </c>
      <c r="C11" s="257">
        <f>④収入!B21</f>
        <v>15000</v>
      </c>
      <c r="E11" s="253" t="s">
        <v>336</v>
      </c>
      <c r="F11" s="258">
        <f>作業体系表!D30</f>
        <v>0</v>
      </c>
      <c r="H11" s="253" t="s">
        <v>337</v>
      </c>
      <c r="I11" s="258">
        <f>作業体系表!V30</f>
        <v>56.019999999999996</v>
      </c>
      <c r="K11" s="255" t="s">
        <v>338</v>
      </c>
      <c r="L11" s="822" t="s">
        <v>598</v>
      </c>
      <c r="M11" s="806"/>
    </row>
    <row r="12" spans="1:15" ht="14.25" customHeight="1">
      <c r="B12" s="253" t="s">
        <v>339</v>
      </c>
      <c r="C12" s="257">
        <f>④収入!C21</f>
        <v>299.90666666666669</v>
      </c>
      <c r="E12" s="253" t="s">
        <v>340</v>
      </c>
      <c r="F12" s="258">
        <f>作業体系表!E30</f>
        <v>0</v>
      </c>
      <c r="H12" s="253" t="s">
        <v>341</v>
      </c>
      <c r="I12" s="258">
        <f>作業体系表!W30</f>
        <v>118.69</v>
      </c>
      <c r="K12" s="255" t="s">
        <v>342</v>
      </c>
      <c r="L12" s="823"/>
      <c r="M12" s="806"/>
    </row>
    <row r="13" spans="1:15" ht="14.25" customHeight="1">
      <c r="B13" s="254" t="s">
        <v>343</v>
      </c>
      <c r="C13" s="257">
        <f>④収入!E21+④収入!F21</f>
        <v>0</v>
      </c>
      <c r="E13" s="253" t="s">
        <v>344</v>
      </c>
      <c r="F13" s="258">
        <f>作業体系表!F30</f>
        <v>7.75</v>
      </c>
      <c r="H13" s="253" t="s">
        <v>345</v>
      </c>
      <c r="I13" s="258">
        <f>作業体系表!X30</f>
        <v>70.37</v>
      </c>
      <c r="K13" s="259" t="s">
        <v>346</v>
      </c>
      <c r="L13" s="260">
        <v>1</v>
      </c>
      <c r="M13" s="261" t="s">
        <v>135</v>
      </c>
    </row>
    <row r="14" spans="1:15" ht="14.25" customHeight="1">
      <c r="B14" s="254" t="s">
        <v>347</v>
      </c>
      <c r="C14" s="262">
        <f>C11*C12+C13</f>
        <v>4498600</v>
      </c>
      <c r="E14" s="253" t="s">
        <v>348</v>
      </c>
      <c r="F14" s="258">
        <f>作業体系表!G30</f>
        <v>1.83</v>
      </c>
      <c r="H14" s="253" t="s">
        <v>349</v>
      </c>
      <c r="I14" s="258">
        <f>作業体系表!Y30</f>
        <v>34.74</v>
      </c>
      <c r="K14" s="259" t="s">
        <v>350</v>
      </c>
      <c r="L14" s="260">
        <v>12</v>
      </c>
      <c r="M14" s="261" t="s">
        <v>133</v>
      </c>
    </row>
    <row r="15" spans="1:15" ht="14.25" customHeight="1">
      <c r="B15" s="252" t="s">
        <v>351</v>
      </c>
      <c r="E15" s="253" t="s">
        <v>352</v>
      </c>
      <c r="F15" s="258">
        <f>作業体系表!H30</f>
        <v>2.08</v>
      </c>
      <c r="H15" s="253" t="s">
        <v>353</v>
      </c>
      <c r="I15" s="258">
        <f>作業体系表!Z30</f>
        <v>16.39</v>
      </c>
      <c r="K15" s="254" t="s">
        <v>354</v>
      </c>
      <c r="L15" s="805"/>
      <c r="M15" s="806"/>
    </row>
    <row r="16" spans="1:15" ht="14.25" customHeight="1">
      <c r="B16" s="254" t="s">
        <v>355</v>
      </c>
      <c r="C16" s="257">
        <f>経営収支!E7</f>
        <v>145600</v>
      </c>
      <c r="E16" s="253" t="s">
        <v>356</v>
      </c>
      <c r="F16" s="258">
        <f>作業体系表!I30</f>
        <v>1.83</v>
      </c>
      <c r="H16" s="253" t="s">
        <v>357</v>
      </c>
      <c r="I16" s="258">
        <f>作業体系表!AA30</f>
        <v>15.620000000000001</v>
      </c>
      <c r="K16" s="254" t="s">
        <v>358</v>
      </c>
      <c r="L16" s="805"/>
      <c r="M16" s="806"/>
    </row>
    <row r="17" spans="2:13" ht="14.25" customHeight="1">
      <c r="B17" s="254" t="s">
        <v>359</v>
      </c>
      <c r="C17" s="257">
        <f>経営収支!E8</f>
        <v>129719</v>
      </c>
      <c r="E17" s="253" t="s">
        <v>360</v>
      </c>
      <c r="F17" s="258">
        <f>作業体系表!J30</f>
        <v>30.439999999999998</v>
      </c>
      <c r="H17" s="253" t="s">
        <v>361</v>
      </c>
      <c r="I17" s="258">
        <f>作業体系表!AB30</f>
        <v>43.48</v>
      </c>
      <c r="K17" s="256"/>
      <c r="L17" s="263"/>
      <c r="M17" s="264"/>
    </row>
    <row r="18" spans="2:13" ht="14.25" customHeight="1">
      <c r="B18" s="254" t="s">
        <v>362</v>
      </c>
      <c r="C18" s="257">
        <f>経営収支!E9</f>
        <v>60875</v>
      </c>
      <c r="E18" s="253" t="s">
        <v>363</v>
      </c>
      <c r="F18" s="258">
        <f>作業体系表!K30</f>
        <v>24.9</v>
      </c>
      <c r="H18" s="253" t="s">
        <v>364</v>
      </c>
      <c r="I18" s="258">
        <f>作業体系表!AC30</f>
        <v>52.910000000000004</v>
      </c>
      <c r="K18" s="256"/>
      <c r="L18" s="263"/>
      <c r="M18" s="263"/>
    </row>
    <row r="19" spans="2:13" ht="14.25" customHeight="1">
      <c r="B19" s="254" t="s">
        <v>365</v>
      </c>
      <c r="C19" s="257">
        <f>経営収支!E10</f>
        <v>13358</v>
      </c>
      <c r="E19" s="253" t="s">
        <v>366</v>
      </c>
      <c r="F19" s="258">
        <f>作業体系表!L30</f>
        <v>6.33</v>
      </c>
      <c r="H19" s="253" t="s">
        <v>367</v>
      </c>
      <c r="I19" s="258">
        <f>作業体系表!AD30</f>
        <v>32.21</v>
      </c>
      <c r="K19" s="256"/>
      <c r="L19" s="263"/>
      <c r="M19" s="263"/>
    </row>
    <row r="20" spans="2:13" ht="14.25" customHeight="1">
      <c r="B20" s="254" t="s">
        <v>368</v>
      </c>
      <c r="C20" s="257">
        <f>経営収支!E11</f>
        <v>291297</v>
      </c>
      <c r="E20" s="253" t="s">
        <v>369</v>
      </c>
      <c r="F20" s="258">
        <f>作業体系表!M30</f>
        <v>11.97</v>
      </c>
      <c r="H20" s="253" t="s">
        <v>370</v>
      </c>
      <c r="I20" s="258">
        <f>作業体系表!AE30</f>
        <v>59.6</v>
      </c>
      <c r="K20" s="256"/>
      <c r="L20" s="263"/>
      <c r="M20" s="263"/>
    </row>
    <row r="21" spans="2:13" ht="14.25" customHeight="1">
      <c r="B21" s="254" t="s">
        <v>371</v>
      </c>
      <c r="C21" s="257">
        <f>経営収支!E13</f>
        <v>0</v>
      </c>
      <c r="E21" s="253" t="s">
        <v>372</v>
      </c>
      <c r="F21" s="258">
        <f>作業体系表!N30</f>
        <v>30.29</v>
      </c>
      <c r="H21" s="253" t="s">
        <v>373</v>
      </c>
      <c r="I21" s="258">
        <f>作業体系表!AF30</f>
        <v>34.44</v>
      </c>
      <c r="K21" s="256"/>
      <c r="L21" s="263"/>
      <c r="M21" s="263"/>
    </row>
    <row r="22" spans="2:13" ht="14.25" customHeight="1">
      <c r="B22" s="254" t="s">
        <v>374</v>
      </c>
      <c r="C22" s="257">
        <f>経営収支!E14</f>
        <v>0</v>
      </c>
      <c r="E22" s="253" t="s">
        <v>375</v>
      </c>
      <c r="F22" s="258">
        <f>作業体系表!O30</f>
        <v>39.01</v>
      </c>
      <c r="H22" s="253" t="s">
        <v>376</v>
      </c>
      <c r="I22" s="258">
        <f>作業体系表!AG30</f>
        <v>24.770000000000003</v>
      </c>
      <c r="K22" s="256"/>
      <c r="L22" s="263"/>
      <c r="M22" s="263"/>
    </row>
    <row r="23" spans="2:13" ht="14.25" customHeight="1">
      <c r="B23" s="254" t="s">
        <v>377</v>
      </c>
      <c r="C23" s="257">
        <f>経営収支!E29</f>
        <v>1451832</v>
      </c>
      <c r="E23" s="253" t="s">
        <v>378</v>
      </c>
      <c r="F23" s="258">
        <f>作業体系表!P30</f>
        <v>72.75</v>
      </c>
      <c r="H23" s="253" t="s">
        <v>379</v>
      </c>
      <c r="I23" s="258">
        <f>作業体系表!AH30</f>
        <v>6.7</v>
      </c>
      <c r="K23" s="256"/>
      <c r="L23" s="263"/>
      <c r="M23" s="263"/>
    </row>
    <row r="24" spans="2:13" ht="14.25" customHeight="1">
      <c r="B24" s="254" t="s">
        <v>380</v>
      </c>
      <c r="C24" s="719">
        <f>経営収支!E12</f>
        <v>0</v>
      </c>
      <c r="E24" s="253" t="s">
        <v>381</v>
      </c>
      <c r="F24" s="258">
        <f>作業体系表!Q30</f>
        <v>79.989999999999995</v>
      </c>
      <c r="H24" s="253" t="s">
        <v>382</v>
      </c>
      <c r="I24" s="258">
        <f>作業体系表!AI30</f>
        <v>18.87</v>
      </c>
      <c r="K24" s="256"/>
      <c r="L24" s="263"/>
      <c r="M24" s="263"/>
    </row>
    <row r="25" spans="2:13" ht="14.25" customHeight="1">
      <c r="B25" s="254" t="s">
        <v>347</v>
      </c>
      <c r="C25" s="262">
        <f>SUM(C16:C24)</f>
        <v>2092681</v>
      </c>
      <c r="E25" s="253" t="s">
        <v>383</v>
      </c>
      <c r="F25" s="258">
        <f>作業体系表!R30</f>
        <v>60.24</v>
      </c>
      <c r="H25" s="253" t="s">
        <v>384</v>
      </c>
      <c r="I25" s="258">
        <f>作業体系表!AJ30</f>
        <v>29.2</v>
      </c>
      <c r="M25" s="263"/>
    </row>
    <row r="26" spans="2:13" ht="14.25" customHeight="1">
      <c r="B26" s="265"/>
      <c r="C26" s="256"/>
      <c r="E26" s="253" t="s">
        <v>385</v>
      </c>
      <c r="F26" s="258">
        <f>作業体系表!S30</f>
        <v>34.950000000000003</v>
      </c>
      <c r="H26" s="253" t="s">
        <v>386</v>
      </c>
      <c r="I26" s="258">
        <f>作業体系表!AK30</f>
        <v>8</v>
      </c>
      <c r="K26" s="256"/>
      <c r="L26" s="263"/>
      <c r="M26" s="263"/>
    </row>
    <row r="27" spans="2:13" ht="14.25" customHeight="1">
      <c r="B27" s="254" t="s">
        <v>387</v>
      </c>
      <c r="C27" s="266">
        <f>C14-C25</f>
        <v>2405919</v>
      </c>
      <c r="E27" s="253" t="s">
        <v>388</v>
      </c>
      <c r="F27" s="258">
        <f>作業体系表!T30</f>
        <v>7.129999999999999</v>
      </c>
      <c r="H27" s="253" t="s">
        <v>389</v>
      </c>
      <c r="I27" s="258">
        <f>作業体系表!AL30</f>
        <v>0</v>
      </c>
      <c r="K27" s="267"/>
      <c r="L27" s="268" t="s">
        <v>390</v>
      </c>
      <c r="M27" s="263"/>
    </row>
    <row r="28" spans="2:13">
      <c r="E28" s="253" t="s">
        <v>391</v>
      </c>
      <c r="F28" s="258">
        <f>作業体系表!U30</f>
        <v>33.18</v>
      </c>
      <c r="H28" s="253" t="s">
        <v>392</v>
      </c>
      <c r="I28" s="258">
        <f>作業体系表!AM30</f>
        <v>0</v>
      </c>
      <c r="K28" s="269"/>
      <c r="L28" s="270">
        <v>1</v>
      </c>
      <c r="M28" s="256"/>
    </row>
  </sheetData>
  <sheetProtection sheet="1" objects="1" scenarios="1"/>
  <mergeCells count="9">
    <mergeCell ref="L16:M16"/>
    <mergeCell ref="C3:F3"/>
    <mergeCell ref="C4:F4"/>
    <mergeCell ref="C5:F5"/>
    <mergeCell ref="B6:B9"/>
    <mergeCell ref="C6:F9"/>
    <mergeCell ref="L11:M11"/>
    <mergeCell ref="L12:M12"/>
    <mergeCell ref="L15:M15"/>
  </mergeCells>
  <phoneticPr fontId="14"/>
  <dataValidations count="6">
    <dataValidation type="list" allowBlank="1" showInputMessage="1" showErrorMessage="1" sqref="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formula1>"する,しない"</formula1>
    </dataValidation>
    <dataValidation type="list" allowBlank="1" showInputMessage="1" showErrorMessage="1" sqref="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formula1>"該当する,該当しない"</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formula1>"田,畑,樹園地,ハウス等"</formula1>
    </dataValidation>
    <dataValidation imeMode="on" allowBlank="1" showInputMessage="1" showErrorMessage="1" sqref="C4:C6 IY4:IY6 SU4:SU6 ACQ4:ACQ6 AMM4:AMM6 AWI4:AWI6 BGE4:BGE6 BQA4:BQA6 BZW4:BZW6 CJS4:CJS6 CTO4:CTO6 DDK4:DDK6 DNG4:DNG6 DXC4:DXC6 EGY4:EGY6 EQU4:EQU6 FAQ4:FAQ6 FKM4:FKM6 FUI4:FUI6 GEE4:GEE6 GOA4:GOA6 GXW4:GXW6 HHS4:HHS6 HRO4:HRO6 IBK4:IBK6 ILG4:ILG6 IVC4:IVC6 JEY4:JEY6 JOU4:JOU6 JYQ4:JYQ6 KIM4:KIM6 KSI4:KSI6 LCE4:LCE6 LMA4:LMA6 LVW4:LVW6 MFS4:MFS6 MPO4:MPO6 MZK4:MZK6 NJG4:NJG6 NTC4:NTC6 OCY4:OCY6 OMU4:OMU6 OWQ4:OWQ6 PGM4:PGM6 PQI4:PQI6 QAE4:QAE6 QKA4:QKA6 QTW4:QTW6 RDS4:RDS6 RNO4:RNO6 RXK4:RXK6 SHG4:SHG6 SRC4:SRC6 TAY4:TAY6 TKU4:TKU6 TUQ4:TUQ6 UEM4:UEM6 UOI4:UOI6 UYE4:UYE6 VIA4:VIA6 VRW4:VRW6 WBS4:WBS6 WLO4:WLO6 WVK4:WVK6 C65540:C65542 IY65540:IY65542 SU65540:SU65542 ACQ65540:ACQ65542 AMM65540:AMM65542 AWI65540:AWI65542 BGE65540:BGE65542 BQA65540:BQA65542 BZW65540:BZW65542 CJS65540:CJS65542 CTO65540:CTO65542 DDK65540:DDK65542 DNG65540:DNG65542 DXC65540:DXC65542 EGY65540:EGY65542 EQU65540:EQU65542 FAQ65540:FAQ65542 FKM65540:FKM65542 FUI65540:FUI65542 GEE65540:GEE65542 GOA65540:GOA65542 GXW65540:GXW65542 HHS65540:HHS65542 HRO65540:HRO65542 IBK65540:IBK65542 ILG65540:ILG65542 IVC65540:IVC65542 JEY65540:JEY65542 JOU65540:JOU65542 JYQ65540:JYQ65542 KIM65540:KIM65542 KSI65540:KSI65542 LCE65540:LCE65542 LMA65540:LMA65542 LVW65540:LVW65542 MFS65540:MFS65542 MPO65540:MPO65542 MZK65540:MZK65542 NJG65540:NJG65542 NTC65540:NTC65542 OCY65540:OCY65542 OMU65540:OMU65542 OWQ65540:OWQ65542 PGM65540:PGM65542 PQI65540:PQI65542 QAE65540:QAE65542 QKA65540:QKA65542 QTW65540:QTW65542 RDS65540:RDS65542 RNO65540:RNO65542 RXK65540:RXK65542 SHG65540:SHG65542 SRC65540:SRC65542 TAY65540:TAY65542 TKU65540:TKU65542 TUQ65540:TUQ65542 UEM65540:UEM65542 UOI65540:UOI65542 UYE65540:UYE65542 VIA65540:VIA65542 VRW65540:VRW65542 WBS65540:WBS65542 WLO65540:WLO65542 WVK65540:WVK65542 C131076:C131078 IY131076:IY131078 SU131076:SU131078 ACQ131076:ACQ131078 AMM131076:AMM131078 AWI131076:AWI131078 BGE131076:BGE131078 BQA131076:BQA131078 BZW131076:BZW131078 CJS131076:CJS131078 CTO131076:CTO131078 DDK131076:DDK131078 DNG131076:DNG131078 DXC131076:DXC131078 EGY131076:EGY131078 EQU131076:EQU131078 FAQ131076:FAQ131078 FKM131076:FKM131078 FUI131076:FUI131078 GEE131076:GEE131078 GOA131076:GOA131078 GXW131076:GXW131078 HHS131076:HHS131078 HRO131076:HRO131078 IBK131076:IBK131078 ILG131076:ILG131078 IVC131076:IVC131078 JEY131076:JEY131078 JOU131076:JOU131078 JYQ131076:JYQ131078 KIM131076:KIM131078 KSI131076:KSI131078 LCE131076:LCE131078 LMA131076:LMA131078 LVW131076:LVW131078 MFS131076:MFS131078 MPO131076:MPO131078 MZK131076:MZK131078 NJG131076:NJG131078 NTC131076:NTC131078 OCY131076:OCY131078 OMU131076:OMU131078 OWQ131076:OWQ131078 PGM131076:PGM131078 PQI131076:PQI131078 QAE131076:QAE131078 QKA131076:QKA131078 QTW131076:QTW131078 RDS131076:RDS131078 RNO131076:RNO131078 RXK131076:RXK131078 SHG131076:SHG131078 SRC131076:SRC131078 TAY131076:TAY131078 TKU131076:TKU131078 TUQ131076:TUQ131078 UEM131076:UEM131078 UOI131076:UOI131078 UYE131076:UYE131078 VIA131076:VIA131078 VRW131076:VRW131078 WBS131076:WBS131078 WLO131076:WLO131078 WVK131076:WVK131078 C196612:C196614 IY196612:IY196614 SU196612:SU196614 ACQ196612:ACQ196614 AMM196612:AMM196614 AWI196612:AWI196614 BGE196612:BGE196614 BQA196612:BQA196614 BZW196612:BZW196614 CJS196612:CJS196614 CTO196612:CTO196614 DDK196612:DDK196614 DNG196612:DNG196614 DXC196612:DXC196614 EGY196612:EGY196614 EQU196612:EQU196614 FAQ196612:FAQ196614 FKM196612:FKM196614 FUI196612:FUI196614 GEE196612:GEE196614 GOA196612:GOA196614 GXW196612:GXW196614 HHS196612:HHS196614 HRO196612:HRO196614 IBK196612:IBK196614 ILG196612:ILG196614 IVC196612:IVC196614 JEY196612:JEY196614 JOU196612:JOU196614 JYQ196612:JYQ196614 KIM196612:KIM196614 KSI196612:KSI196614 LCE196612:LCE196614 LMA196612:LMA196614 LVW196612:LVW196614 MFS196612:MFS196614 MPO196612:MPO196614 MZK196612:MZK196614 NJG196612:NJG196614 NTC196612:NTC196614 OCY196612:OCY196614 OMU196612:OMU196614 OWQ196612:OWQ196614 PGM196612:PGM196614 PQI196612:PQI196614 QAE196612:QAE196614 QKA196612:QKA196614 QTW196612:QTW196614 RDS196612:RDS196614 RNO196612:RNO196614 RXK196612:RXK196614 SHG196612:SHG196614 SRC196612:SRC196614 TAY196612:TAY196614 TKU196612:TKU196614 TUQ196612:TUQ196614 UEM196612:UEM196614 UOI196612:UOI196614 UYE196612:UYE196614 VIA196612:VIA196614 VRW196612:VRW196614 WBS196612:WBS196614 WLO196612:WLO196614 WVK196612:WVK196614 C262148:C262150 IY262148:IY262150 SU262148:SU262150 ACQ262148:ACQ262150 AMM262148:AMM262150 AWI262148:AWI262150 BGE262148:BGE262150 BQA262148:BQA262150 BZW262148:BZW262150 CJS262148:CJS262150 CTO262148:CTO262150 DDK262148:DDK262150 DNG262148:DNG262150 DXC262148:DXC262150 EGY262148:EGY262150 EQU262148:EQU262150 FAQ262148:FAQ262150 FKM262148:FKM262150 FUI262148:FUI262150 GEE262148:GEE262150 GOA262148:GOA262150 GXW262148:GXW262150 HHS262148:HHS262150 HRO262148:HRO262150 IBK262148:IBK262150 ILG262148:ILG262150 IVC262148:IVC262150 JEY262148:JEY262150 JOU262148:JOU262150 JYQ262148:JYQ262150 KIM262148:KIM262150 KSI262148:KSI262150 LCE262148:LCE262150 LMA262148:LMA262150 LVW262148:LVW262150 MFS262148:MFS262150 MPO262148:MPO262150 MZK262148:MZK262150 NJG262148:NJG262150 NTC262148:NTC262150 OCY262148:OCY262150 OMU262148:OMU262150 OWQ262148:OWQ262150 PGM262148:PGM262150 PQI262148:PQI262150 QAE262148:QAE262150 QKA262148:QKA262150 QTW262148:QTW262150 RDS262148:RDS262150 RNO262148:RNO262150 RXK262148:RXK262150 SHG262148:SHG262150 SRC262148:SRC262150 TAY262148:TAY262150 TKU262148:TKU262150 TUQ262148:TUQ262150 UEM262148:UEM262150 UOI262148:UOI262150 UYE262148:UYE262150 VIA262148:VIA262150 VRW262148:VRW262150 WBS262148:WBS262150 WLO262148:WLO262150 WVK262148:WVK262150 C327684:C327686 IY327684:IY327686 SU327684:SU327686 ACQ327684:ACQ327686 AMM327684:AMM327686 AWI327684:AWI327686 BGE327684:BGE327686 BQA327684:BQA327686 BZW327684:BZW327686 CJS327684:CJS327686 CTO327684:CTO327686 DDK327684:DDK327686 DNG327684:DNG327686 DXC327684:DXC327686 EGY327684:EGY327686 EQU327684:EQU327686 FAQ327684:FAQ327686 FKM327684:FKM327686 FUI327684:FUI327686 GEE327684:GEE327686 GOA327684:GOA327686 GXW327684:GXW327686 HHS327684:HHS327686 HRO327684:HRO327686 IBK327684:IBK327686 ILG327684:ILG327686 IVC327684:IVC327686 JEY327684:JEY327686 JOU327684:JOU327686 JYQ327684:JYQ327686 KIM327684:KIM327686 KSI327684:KSI327686 LCE327684:LCE327686 LMA327684:LMA327686 LVW327684:LVW327686 MFS327684:MFS327686 MPO327684:MPO327686 MZK327684:MZK327686 NJG327684:NJG327686 NTC327684:NTC327686 OCY327684:OCY327686 OMU327684:OMU327686 OWQ327684:OWQ327686 PGM327684:PGM327686 PQI327684:PQI327686 QAE327684:QAE327686 QKA327684:QKA327686 QTW327684:QTW327686 RDS327684:RDS327686 RNO327684:RNO327686 RXK327684:RXK327686 SHG327684:SHG327686 SRC327684:SRC327686 TAY327684:TAY327686 TKU327684:TKU327686 TUQ327684:TUQ327686 UEM327684:UEM327686 UOI327684:UOI327686 UYE327684:UYE327686 VIA327684:VIA327686 VRW327684:VRW327686 WBS327684:WBS327686 WLO327684:WLO327686 WVK327684:WVK327686 C393220:C393222 IY393220:IY393222 SU393220:SU393222 ACQ393220:ACQ393222 AMM393220:AMM393222 AWI393220:AWI393222 BGE393220:BGE393222 BQA393220:BQA393222 BZW393220:BZW393222 CJS393220:CJS393222 CTO393220:CTO393222 DDK393220:DDK393222 DNG393220:DNG393222 DXC393220:DXC393222 EGY393220:EGY393222 EQU393220:EQU393222 FAQ393220:FAQ393222 FKM393220:FKM393222 FUI393220:FUI393222 GEE393220:GEE393222 GOA393220:GOA393222 GXW393220:GXW393222 HHS393220:HHS393222 HRO393220:HRO393222 IBK393220:IBK393222 ILG393220:ILG393222 IVC393220:IVC393222 JEY393220:JEY393222 JOU393220:JOU393222 JYQ393220:JYQ393222 KIM393220:KIM393222 KSI393220:KSI393222 LCE393220:LCE393222 LMA393220:LMA393222 LVW393220:LVW393222 MFS393220:MFS393222 MPO393220:MPO393222 MZK393220:MZK393222 NJG393220:NJG393222 NTC393220:NTC393222 OCY393220:OCY393222 OMU393220:OMU393222 OWQ393220:OWQ393222 PGM393220:PGM393222 PQI393220:PQI393222 QAE393220:QAE393222 QKA393220:QKA393222 QTW393220:QTW393222 RDS393220:RDS393222 RNO393220:RNO393222 RXK393220:RXK393222 SHG393220:SHG393222 SRC393220:SRC393222 TAY393220:TAY393222 TKU393220:TKU393222 TUQ393220:TUQ393222 UEM393220:UEM393222 UOI393220:UOI393222 UYE393220:UYE393222 VIA393220:VIA393222 VRW393220:VRW393222 WBS393220:WBS393222 WLO393220:WLO393222 WVK393220:WVK393222 C458756:C458758 IY458756:IY458758 SU458756:SU458758 ACQ458756:ACQ458758 AMM458756:AMM458758 AWI458756:AWI458758 BGE458756:BGE458758 BQA458756:BQA458758 BZW458756:BZW458758 CJS458756:CJS458758 CTO458756:CTO458758 DDK458756:DDK458758 DNG458756:DNG458758 DXC458756:DXC458758 EGY458756:EGY458758 EQU458756:EQU458758 FAQ458756:FAQ458758 FKM458756:FKM458758 FUI458756:FUI458758 GEE458756:GEE458758 GOA458756:GOA458758 GXW458756:GXW458758 HHS458756:HHS458758 HRO458756:HRO458758 IBK458756:IBK458758 ILG458756:ILG458758 IVC458756:IVC458758 JEY458756:JEY458758 JOU458756:JOU458758 JYQ458756:JYQ458758 KIM458756:KIM458758 KSI458756:KSI458758 LCE458756:LCE458758 LMA458756:LMA458758 LVW458756:LVW458758 MFS458756:MFS458758 MPO458756:MPO458758 MZK458756:MZK458758 NJG458756:NJG458758 NTC458756:NTC458758 OCY458756:OCY458758 OMU458756:OMU458758 OWQ458756:OWQ458758 PGM458756:PGM458758 PQI458756:PQI458758 QAE458756:QAE458758 QKA458756:QKA458758 QTW458756:QTW458758 RDS458756:RDS458758 RNO458756:RNO458758 RXK458756:RXK458758 SHG458756:SHG458758 SRC458756:SRC458758 TAY458756:TAY458758 TKU458756:TKU458758 TUQ458756:TUQ458758 UEM458756:UEM458758 UOI458756:UOI458758 UYE458756:UYE458758 VIA458756:VIA458758 VRW458756:VRW458758 WBS458756:WBS458758 WLO458756:WLO458758 WVK458756:WVK458758 C524292:C524294 IY524292:IY524294 SU524292:SU524294 ACQ524292:ACQ524294 AMM524292:AMM524294 AWI524292:AWI524294 BGE524292:BGE524294 BQA524292:BQA524294 BZW524292:BZW524294 CJS524292:CJS524294 CTO524292:CTO524294 DDK524292:DDK524294 DNG524292:DNG524294 DXC524292:DXC524294 EGY524292:EGY524294 EQU524292:EQU524294 FAQ524292:FAQ524294 FKM524292:FKM524294 FUI524292:FUI524294 GEE524292:GEE524294 GOA524292:GOA524294 GXW524292:GXW524294 HHS524292:HHS524294 HRO524292:HRO524294 IBK524292:IBK524294 ILG524292:ILG524294 IVC524292:IVC524294 JEY524292:JEY524294 JOU524292:JOU524294 JYQ524292:JYQ524294 KIM524292:KIM524294 KSI524292:KSI524294 LCE524292:LCE524294 LMA524292:LMA524294 LVW524292:LVW524294 MFS524292:MFS524294 MPO524292:MPO524294 MZK524292:MZK524294 NJG524292:NJG524294 NTC524292:NTC524294 OCY524292:OCY524294 OMU524292:OMU524294 OWQ524292:OWQ524294 PGM524292:PGM524294 PQI524292:PQI524294 QAE524292:QAE524294 QKA524292:QKA524294 QTW524292:QTW524294 RDS524292:RDS524294 RNO524292:RNO524294 RXK524292:RXK524294 SHG524292:SHG524294 SRC524292:SRC524294 TAY524292:TAY524294 TKU524292:TKU524294 TUQ524292:TUQ524294 UEM524292:UEM524294 UOI524292:UOI524294 UYE524292:UYE524294 VIA524292:VIA524294 VRW524292:VRW524294 WBS524292:WBS524294 WLO524292:WLO524294 WVK524292:WVK524294 C589828:C589830 IY589828:IY589830 SU589828:SU589830 ACQ589828:ACQ589830 AMM589828:AMM589830 AWI589828:AWI589830 BGE589828:BGE589830 BQA589828:BQA589830 BZW589828:BZW589830 CJS589828:CJS589830 CTO589828:CTO589830 DDK589828:DDK589830 DNG589828:DNG589830 DXC589828:DXC589830 EGY589828:EGY589830 EQU589828:EQU589830 FAQ589828:FAQ589830 FKM589828:FKM589830 FUI589828:FUI589830 GEE589828:GEE589830 GOA589828:GOA589830 GXW589828:GXW589830 HHS589828:HHS589830 HRO589828:HRO589830 IBK589828:IBK589830 ILG589828:ILG589830 IVC589828:IVC589830 JEY589828:JEY589830 JOU589828:JOU589830 JYQ589828:JYQ589830 KIM589828:KIM589830 KSI589828:KSI589830 LCE589828:LCE589830 LMA589828:LMA589830 LVW589828:LVW589830 MFS589828:MFS589830 MPO589828:MPO589830 MZK589828:MZK589830 NJG589828:NJG589830 NTC589828:NTC589830 OCY589828:OCY589830 OMU589828:OMU589830 OWQ589828:OWQ589830 PGM589828:PGM589830 PQI589828:PQI589830 QAE589828:QAE589830 QKA589828:QKA589830 QTW589828:QTW589830 RDS589828:RDS589830 RNO589828:RNO589830 RXK589828:RXK589830 SHG589828:SHG589830 SRC589828:SRC589830 TAY589828:TAY589830 TKU589828:TKU589830 TUQ589828:TUQ589830 UEM589828:UEM589830 UOI589828:UOI589830 UYE589828:UYE589830 VIA589828:VIA589830 VRW589828:VRW589830 WBS589828:WBS589830 WLO589828:WLO589830 WVK589828:WVK589830 C655364:C655366 IY655364:IY655366 SU655364:SU655366 ACQ655364:ACQ655366 AMM655364:AMM655366 AWI655364:AWI655366 BGE655364:BGE655366 BQA655364:BQA655366 BZW655364:BZW655366 CJS655364:CJS655366 CTO655364:CTO655366 DDK655364:DDK655366 DNG655364:DNG655366 DXC655364:DXC655366 EGY655364:EGY655366 EQU655364:EQU655366 FAQ655364:FAQ655366 FKM655364:FKM655366 FUI655364:FUI655366 GEE655364:GEE655366 GOA655364:GOA655366 GXW655364:GXW655366 HHS655364:HHS655366 HRO655364:HRO655366 IBK655364:IBK655366 ILG655364:ILG655366 IVC655364:IVC655366 JEY655364:JEY655366 JOU655364:JOU655366 JYQ655364:JYQ655366 KIM655364:KIM655366 KSI655364:KSI655366 LCE655364:LCE655366 LMA655364:LMA655366 LVW655364:LVW655366 MFS655364:MFS655366 MPO655364:MPO655366 MZK655364:MZK655366 NJG655364:NJG655366 NTC655364:NTC655366 OCY655364:OCY655366 OMU655364:OMU655366 OWQ655364:OWQ655366 PGM655364:PGM655366 PQI655364:PQI655366 QAE655364:QAE655366 QKA655364:QKA655366 QTW655364:QTW655366 RDS655364:RDS655366 RNO655364:RNO655366 RXK655364:RXK655366 SHG655364:SHG655366 SRC655364:SRC655366 TAY655364:TAY655366 TKU655364:TKU655366 TUQ655364:TUQ655366 UEM655364:UEM655366 UOI655364:UOI655366 UYE655364:UYE655366 VIA655364:VIA655366 VRW655364:VRW655366 WBS655364:WBS655366 WLO655364:WLO655366 WVK655364:WVK655366 C720900:C720902 IY720900:IY720902 SU720900:SU720902 ACQ720900:ACQ720902 AMM720900:AMM720902 AWI720900:AWI720902 BGE720900:BGE720902 BQA720900:BQA720902 BZW720900:BZW720902 CJS720900:CJS720902 CTO720900:CTO720902 DDK720900:DDK720902 DNG720900:DNG720902 DXC720900:DXC720902 EGY720900:EGY720902 EQU720900:EQU720902 FAQ720900:FAQ720902 FKM720900:FKM720902 FUI720900:FUI720902 GEE720900:GEE720902 GOA720900:GOA720902 GXW720900:GXW720902 HHS720900:HHS720902 HRO720900:HRO720902 IBK720900:IBK720902 ILG720900:ILG720902 IVC720900:IVC720902 JEY720900:JEY720902 JOU720900:JOU720902 JYQ720900:JYQ720902 KIM720900:KIM720902 KSI720900:KSI720902 LCE720900:LCE720902 LMA720900:LMA720902 LVW720900:LVW720902 MFS720900:MFS720902 MPO720900:MPO720902 MZK720900:MZK720902 NJG720900:NJG720902 NTC720900:NTC720902 OCY720900:OCY720902 OMU720900:OMU720902 OWQ720900:OWQ720902 PGM720900:PGM720902 PQI720900:PQI720902 QAE720900:QAE720902 QKA720900:QKA720902 QTW720900:QTW720902 RDS720900:RDS720902 RNO720900:RNO720902 RXK720900:RXK720902 SHG720900:SHG720902 SRC720900:SRC720902 TAY720900:TAY720902 TKU720900:TKU720902 TUQ720900:TUQ720902 UEM720900:UEM720902 UOI720900:UOI720902 UYE720900:UYE720902 VIA720900:VIA720902 VRW720900:VRW720902 WBS720900:WBS720902 WLO720900:WLO720902 WVK720900:WVK720902 C786436:C786438 IY786436:IY786438 SU786436:SU786438 ACQ786436:ACQ786438 AMM786436:AMM786438 AWI786436:AWI786438 BGE786436:BGE786438 BQA786436:BQA786438 BZW786436:BZW786438 CJS786436:CJS786438 CTO786436:CTO786438 DDK786436:DDK786438 DNG786436:DNG786438 DXC786436:DXC786438 EGY786436:EGY786438 EQU786436:EQU786438 FAQ786436:FAQ786438 FKM786436:FKM786438 FUI786436:FUI786438 GEE786436:GEE786438 GOA786436:GOA786438 GXW786436:GXW786438 HHS786436:HHS786438 HRO786436:HRO786438 IBK786436:IBK786438 ILG786436:ILG786438 IVC786436:IVC786438 JEY786436:JEY786438 JOU786436:JOU786438 JYQ786436:JYQ786438 KIM786436:KIM786438 KSI786436:KSI786438 LCE786436:LCE786438 LMA786436:LMA786438 LVW786436:LVW786438 MFS786436:MFS786438 MPO786436:MPO786438 MZK786436:MZK786438 NJG786436:NJG786438 NTC786436:NTC786438 OCY786436:OCY786438 OMU786436:OMU786438 OWQ786436:OWQ786438 PGM786436:PGM786438 PQI786436:PQI786438 QAE786436:QAE786438 QKA786436:QKA786438 QTW786436:QTW786438 RDS786436:RDS786438 RNO786436:RNO786438 RXK786436:RXK786438 SHG786436:SHG786438 SRC786436:SRC786438 TAY786436:TAY786438 TKU786436:TKU786438 TUQ786436:TUQ786438 UEM786436:UEM786438 UOI786436:UOI786438 UYE786436:UYE786438 VIA786436:VIA786438 VRW786436:VRW786438 WBS786436:WBS786438 WLO786436:WLO786438 WVK786436:WVK786438 C851972:C851974 IY851972:IY851974 SU851972:SU851974 ACQ851972:ACQ851974 AMM851972:AMM851974 AWI851972:AWI851974 BGE851972:BGE851974 BQA851972:BQA851974 BZW851972:BZW851974 CJS851972:CJS851974 CTO851972:CTO851974 DDK851972:DDK851974 DNG851972:DNG851974 DXC851972:DXC851974 EGY851972:EGY851974 EQU851972:EQU851974 FAQ851972:FAQ851974 FKM851972:FKM851974 FUI851972:FUI851974 GEE851972:GEE851974 GOA851972:GOA851974 GXW851972:GXW851974 HHS851972:HHS851974 HRO851972:HRO851974 IBK851972:IBK851974 ILG851972:ILG851974 IVC851972:IVC851974 JEY851972:JEY851974 JOU851972:JOU851974 JYQ851972:JYQ851974 KIM851972:KIM851974 KSI851972:KSI851974 LCE851972:LCE851974 LMA851972:LMA851974 LVW851972:LVW851974 MFS851972:MFS851974 MPO851972:MPO851974 MZK851972:MZK851974 NJG851972:NJG851974 NTC851972:NTC851974 OCY851972:OCY851974 OMU851972:OMU851974 OWQ851972:OWQ851974 PGM851972:PGM851974 PQI851972:PQI851974 QAE851972:QAE851974 QKA851972:QKA851974 QTW851972:QTW851974 RDS851972:RDS851974 RNO851972:RNO851974 RXK851972:RXK851974 SHG851972:SHG851974 SRC851972:SRC851974 TAY851972:TAY851974 TKU851972:TKU851974 TUQ851972:TUQ851974 UEM851972:UEM851974 UOI851972:UOI851974 UYE851972:UYE851974 VIA851972:VIA851974 VRW851972:VRW851974 WBS851972:WBS851974 WLO851972:WLO851974 WVK851972:WVK851974 C917508:C917510 IY917508:IY917510 SU917508:SU917510 ACQ917508:ACQ917510 AMM917508:AMM917510 AWI917508:AWI917510 BGE917508:BGE917510 BQA917508:BQA917510 BZW917508:BZW917510 CJS917508:CJS917510 CTO917508:CTO917510 DDK917508:DDK917510 DNG917508:DNG917510 DXC917508:DXC917510 EGY917508:EGY917510 EQU917508:EQU917510 FAQ917508:FAQ917510 FKM917508:FKM917510 FUI917508:FUI917510 GEE917508:GEE917510 GOA917508:GOA917510 GXW917508:GXW917510 HHS917508:HHS917510 HRO917508:HRO917510 IBK917508:IBK917510 ILG917508:ILG917510 IVC917508:IVC917510 JEY917508:JEY917510 JOU917508:JOU917510 JYQ917508:JYQ917510 KIM917508:KIM917510 KSI917508:KSI917510 LCE917508:LCE917510 LMA917508:LMA917510 LVW917508:LVW917510 MFS917508:MFS917510 MPO917508:MPO917510 MZK917508:MZK917510 NJG917508:NJG917510 NTC917508:NTC917510 OCY917508:OCY917510 OMU917508:OMU917510 OWQ917508:OWQ917510 PGM917508:PGM917510 PQI917508:PQI917510 QAE917508:QAE917510 QKA917508:QKA917510 QTW917508:QTW917510 RDS917508:RDS917510 RNO917508:RNO917510 RXK917508:RXK917510 SHG917508:SHG917510 SRC917508:SRC917510 TAY917508:TAY917510 TKU917508:TKU917510 TUQ917508:TUQ917510 UEM917508:UEM917510 UOI917508:UOI917510 UYE917508:UYE917510 VIA917508:VIA917510 VRW917508:VRW917510 WBS917508:WBS917510 WLO917508:WLO917510 WVK917508:WVK917510 C983044:C983046 IY983044:IY983046 SU983044:SU983046 ACQ983044:ACQ983046 AMM983044:AMM983046 AWI983044:AWI983046 BGE983044:BGE983046 BQA983044:BQA983046 BZW983044:BZW983046 CJS983044:CJS983046 CTO983044:CTO983046 DDK983044:DDK983046 DNG983044:DNG983046 DXC983044:DXC983046 EGY983044:EGY983046 EQU983044:EQU983046 FAQ983044:FAQ983046 FKM983044:FKM983046 FUI983044:FUI983046 GEE983044:GEE983046 GOA983044:GOA983046 GXW983044:GXW983046 HHS983044:HHS983046 HRO983044:HRO983046 IBK983044:IBK983046 ILG983044:ILG983046 IVC983044:IVC983046 JEY983044:JEY983046 JOU983044:JOU983046 JYQ983044:JYQ983046 KIM983044:KIM983046 KSI983044:KSI983046 LCE983044:LCE983046 LMA983044:LMA983046 LVW983044:LVW983046 MFS983044:MFS983046 MPO983044:MPO983046 MZK983044:MZK983046 NJG983044:NJG983046 NTC983044:NTC983046 OCY983044:OCY983046 OMU983044:OMU983046 OWQ983044:OWQ983046 PGM983044:PGM983046 PQI983044:PQI983046 QAE983044:QAE983046 QKA983044:QKA983046 QTW983044:QTW983046 RDS983044:RDS983046 RNO983044:RNO983046 RXK983044:RXK983046 SHG983044:SHG983046 SRC983044:SRC983046 TAY983044:TAY983046 TKU983044:TKU983046 TUQ983044:TUQ983046 UEM983044:UEM983046 UOI983044:UOI983046 UYE983044:UYE983046 VIA983044:VIA983046 VRW983044:VRW983046 WBS983044:WBS983046 WLO983044:WLO983046 WVK983044:WVK983046"/>
    <dataValidation type="list" allowBlank="1" showInputMessage="1" showErrorMessage="1" sqref="M13:M14 JI13:JI14 TE13:TE14 ADA13:ADA14 AMW13:AMW14 AWS13:AWS14 BGO13:BGO14 BQK13:BQK14 CAG13:CAG14 CKC13:CKC14 CTY13:CTY14 DDU13:DDU14 DNQ13:DNQ14 DXM13:DXM14 EHI13:EHI14 ERE13:ERE14 FBA13:FBA14 FKW13:FKW14 FUS13:FUS14 GEO13:GEO14 GOK13:GOK14 GYG13:GYG14 HIC13:HIC14 HRY13:HRY14 IBU13:IBU14 ILQ13:ILQ14 IVM13:IVM14 JFI13:JFI14 JPE13:JPE14 JZA13:JZA14 KIW13:KIW14 KSS13:KSS14 LCO13:LCO14 LMK13:LMK14 LWG13:LWG14 MGC13:MGC14 MPY13:MPY14 MZU13:MZU14 NJQ13:NJQ14 NTM13:NTM14 ODI13:ODI14 ONE13:ONE14 OXA13:OXA14 PGW13:PGW14 PQS13:PQS14 QAO13:QAO14 QKK13:QKK14 QUG13:QUG14 REC13:REC14 RNY13:RNY14 RXU13:RXU14 SHQ13:SHQ14 SRM13:SRM14 TBI13:TBI14 TLE13:TLE14 TVA13:TVA14 UEW13:UEW14 UOS13:UOS14 UYO13:UYO14 VIK13:VIK14 VSG13:VSG14 WCC13:WCC14 WLY13:WLY14 WVU13:WVU14 M65549:M65550 JI65549:JI65550 TE65549:TE65550 ADA65549:ADA65550 AMW65549:AMW65550 AWS65549:AWS65550 BGO65549:BGO65550 BQK65549:BQK65550 CAG65549:CAG65550 CKC65549:CKC65550 CTY65549:CTY65550 DDU65549:DDU65550 DNQ65549:DNQ65550 DXM65549:DXM65550 EHI65549:EHI65550 ERE65549:ERE65550 FBA65549:FBA65550 FKW65549:FKW65550 FUS65549:FUS65550 GEO65549:GEO65550 GOK65549:GOK65550 GYG65549:GYG65550 HIC65549:HIC65550 HRY65549:HRY65550 IBU65549:IBU65550 ILQ65549:ILQ65550 IVM65549:IVM65550 JFI65549:JFI65550 JPE65549:JPE65550 JZA65549:JZA65550 KIW65549:KIW65550 KSS65549:KSS65550 LCO65549:LCO65550 LMK65549:LMK65550 LWG65549:LWG65550 MGC65549:MGC65550 MPY65549:MPY65550 MZU65549:MZU65550 NJQ65549:NJQ65550 NTM65549:NTM65550 ODI65549:ODI65550 ONE65549:ONE65550 OXA65549:OXA65550 PGW65549:PGW65550 PQS65549:PQS65550 QAO65549:QAO65550 QKK65549:QKK65550 QUG65549:QUG65550 REC65549:REC65550 RNY65549:RNY65550 RXU65549:RXU65550 SHQ65549:SHQ65550 SRM65549:SRM65550 TBI65549:TBI65550 TLE65549:TLE65550 TVA65549:TVA65550 UEW65549:UEW65550 UOS65549:UOS65550 UYO65549:UYO65550 VIK65549:VIK65550 VSG65549:VSG65550 WCC65549:WCC65550 WLY65549:WLY65550 WVU65549:WVU65550 M131085:M131086 JI131085:JI131086 TE131085:TE131086 ADA131085:ADA131086 AMW131085:AMW131086 AWS131085:AWS131086 BGO131085:BGO131086 BQK131085:BQK131086 CAG131085:CAG131086 CKC131085:CKC131086 CTY131085:CTY131086 DDU131085:DDU131086 DNQ131085:DNQ131086 DXM131085:DXM131086 EHI131085:EHI131086 ERE131085:ERE131086 FBA131085:FBA131086 FKW131085:FKW131086 FUS131085:FUS131086 GEO131085:GEO131086 GOK131085:GOK131086 GYG131085:GYG131086 HIC131085:HIC131086 HRY131085:HRY131086 IBU131085:IBU131086 ILQ131085:ILQ131086 IVM131085:IVM131086 JFI131085:JFI131086 JPE131085:JPE131086 JZA131085:JZA131086 KIW131085:KIW131086 KSS131085:KSS131086 LCO131085:LCO131086 LMK131085:LMK131086 LWG131085:LWG131086 MGC131085:MGC131086 MPY131085:MPY131086 MZU131085:MZU131086 NJQ131085:NJQ131086 NTM131085:NTM131086 ODI131085:ODI131086 ONE131085:ONE131086 OXA131085:OXA131086 PGW131085:PGW131086 PQS131085:PQS131086 QAO131085:QAO131086 QKK131085:QKK131086 QUG131085:QUG131086 REC131085:REC131086 RNY131085:RNY131086 RXU131085:RXU131086 SHQ131085:SHQ131086 SRM131085:SRM131086 TBI131085:TBI131086 TLE131085:TLE131086 TVA131085:TVA131086 UEW131085:UEW131086 UOS131085:UOS131086 UYO131085:UYO131086 VIK131085:VIK131086 VSG131085:VSG131086 WCC131085:WCC131086 WLY131085:WLY131086 WVU131085:WVU131086 M196621:M196622 JI196621:JI196622 TE196621:TE196622 ADA196621:ADA196622 AMW196621:AMW196622 AWS196621:AWS196622 BGO196621:BGO196622 BQK196621:BQK196622 CAG196621:CAG196622 CKC196621:CKC196622 CTY196621:CTY196622 DDU196621:DDU196622 DNQ196621:DNQ196622 DXM196621:DXM196622 EHI196621:EHI196622 ERE196621:ERE196622 FBA196621:FBA196622 FKW196621:FKW196622 FUS196621:FUS196622 GEO196621:GEO196622 GOK196621:GOK196622 GYG196621:GYG196622 HIC196621:HIC196622 HRY196621:HRY196622 IBU196621:IBU196622 ILQ196621:ILQ196622 IVM196621:IVM196622 JFI196621:JFI196622 JPE196621:JPE196622 JZA196621:JZA196622 KIW196621:KIW196622 KSS196621:KSS196622 LCO196621:LCO196622 LMK196621:LMK196622 LWG196621:LWG196622 MGC196621:MGC196622 MPY196621:MPY196622 MZU196621:MZU196622 NJQ196621:NJQ196622 NTM196621:NTM196622 ODI196621:ODI196622 ONE196621:ONE196622 OXA196621:OXA196622 PGW196621:PGW196622 PQS196621:PQS196622 QAO196621:QAO196622 QKK196621:QKK196622 QUG196621:QUG196622 REC196621:REC196622 RNY196621:RNY196622 RXU196621:RXU196622 SHQ196621:SHQ196622 SRM196621:SRM196622 TBI196621:TBI196622 TLE196621:TLE196622 TVA196621:TVA196622 UEW196621:UEW196622 UOS196621:UOS196622 UYO196621:UYO196622 VIK196621:VIK196622 VSG196621:VSG196622 WCC196621:WCC196622 WLY196621:WLY196622 WVU196621:WVU196622 M262157:M262158 JI262157:JI262158 TE262157:TE262158 ADA262157:ADA262158 AMW262157:AMW262158 AWS262157:AWS262158 BGO262157:BGO262158 BQK262157:BQK262158 CAG262157:CAG262158 CKC262157:CKC262158 CTY262157:CTY262158 DDU262157:DDU262158 DNQ262157:DNQ262158 DXM262157:DXM262158 EHI262157:EHI262158 ERE262157:ERE262158 FBA262157:FBA262158 FKW262157:FKW262158 FUS262157:FUS262158 GEO262157:GEO262158 GOK262157:GOK262158 GYG262157:GYG262158 HIC262157:HIC262158 HRY262157:HRY262158 IBU262157:IBU262158 ILQ262157:ILQ262158 IVM262157:IVM262158 JFI262157:JFI262158 JPE262157:JPE262158 JZA262157:JZA262158 KIW262157:KIW262158 KSS262157:KSS262158 LCO262157:LCO262158 LMK262157:LMK262158 LWG262157:LWG262158 MGC262157:MGC262158 MPY262157:MPY262158 MZU262157:MZU262158 NJQ262157:NJQ262158 NTM262157:NTM262158 ODI262157:ODI262158 ONE262157:ONE262158 OXA262157:OXA262158 PGW262157:PGW262158 PQS262157:PQS262158 QAO262157:QAO262158 QKK262157:QKK262158 QUG262157:QUG262158 REC262157:REC262158 RNY262157:RNY262158 RXU262157:RXU262158 SHQ262157:SHQ262158 SRM262157:SRM262158 TBI262157:TBI262158 TLE262157:TLE262158 TVA262157:TVA262158 UEW262157:UEW262158 UOS262157:UOS262158 UYO262157:UYO262158 VIK262157:VIK262158 VSG262157:VSG262158 WCC262157:WCC262158 WLY262157:WLY262158 WVU262157:WVU262158 M327693:M327694 JI327693:JI327694 TE327693:TE327694 ADA327693:ADA327694 AMW327693:AMW327694 AWS327693:AWS327694 BGO327693:BGO327694 BQK327693:BQK327694 CAG327693:CAG327694 CKC327693:CKC327694 CTY327693:CTY327694 DDU327693:DDU327694 DNQ327693:DNQ327694 DXM327693:DXM327694 EHI327693:EHI327694 ERE327693:ERE327694 FBA327693:FBA327694 FKW327693:FKW327694 FUS327693:FUS327694 GEO327693:GEO327694 GOK327693:GOK327694 GYG327693:GYG327694 HIC327693:HIC327694 HRY327693:HRY327694 IBU327693:IBU327694 ILQ327693:ILQ327694 IVM327693:IVM327694 JFI327693:JFI327694 JPE327693:JPE327694 JZA327693:JZA327694 KIW327693:KIW327694 KSS327693:KSS327694 LCO327693:LCO327694 LMK327693:LMK327694 LWG327693:LWG327694 MGC327693:MGC327694 MPY327693:MPY327694 MZU327693:MZU327694 NJQ327693:NJQ327694 NTM327693:NTM327694 ODI327693:ODI327694 ONE327693:ONE327694 OXA327693:OXA327694 PGW327693:PGW327694 PQS327693:PQS327694 QAO327693:QAO327694 QKK327693:QKK327694 QUG327693:QUG327694 REC327693:REC327694 RNY327693:RNY327694 RXU327693:RXU327694 SHQ327693:SHQ327694 SRM327693:SRM327694 TBI327693:TBI327694 TLE327693:TLE327694 TVA327693:TVA327694 UEW327693:UEW327694 UOS327693:UOS327694 UYO327693:UYO327694 VIK327693:VIK327694 VSG327693:VSG327694 WCC327693:WCC327694 WLY327693:WLY327694 WVU327693:WVU327694 M393229:M393230 JI393229:JI393230 TE393229:TE393230 ADA393229:ADA393230 AMW393229:AMW393230 AWS393229:AWS393230 BGO393229:BGO393230 BQK393229:BQK393230 CAG393229:CAG393230 CKC393229:CKC393230 CTY393229:CTY393230 DDU393229:DDU393230 DNQ393229:DNQ393230 DXM393229:DXM393230 EHI393229:EHI393230 ERE393229:ERE393230 FBA393229:FBA393230 FKW393229:FKW393230 FUS393229:FUS393230 GEO393229:GEO393230 GOK393229:GOK393230 GYG393229:GYG393230 HIC393229:HIC393230 HRY393229:HRY393230 IBU393229:IBU393230 ILQ393229:ILQ393230 IVM393229:IVM393230 JFI393229:JFI393230 JPE393229:JPE393230 JZA393229:JZA393230 KIW393229:KIW393230 KSS393229:KSS393230 LCO393229:LCO393230 LMK393229:LMK393230 LWG393229:LWG393230 MGC393229:MGC393230 MPY393229:MPY393230 MZU393229:MZU393230 NJQ393229:NJQ393230 NTM393229:NTM393230 ODI393229:ODI393230 ONE393229:ONE393230 OXA393229:OXA393230 PGW393229:PGW393230 PQS393229:PQS393230 QAO393229:QAO393230 QKK393229:QKK393230 QUG393229:QUG393230 REC393229:REC393230 RNY393229:RNY393230 RXU393229:RXU393230 SHQ393229:SHQ393230 SRM393229:SRM393230 TBI393229:TBI393230 TLE393229:TLE393230 TVA393229:TVA393230 UEW393229:UEW393230 UOS393229:UOS393230 UYO393229:UYO393230 VIK393229:VIK393230 VSG393229:VSG393230 WCC393229:WCC393230 WLY393229:WLY393230 WVU393229:WVU393230 M458765:M458766 JI458765:JI458766 TE458765:TE458766 ADA458765:ADA458766 AMW458765:AMW458766 AWS458765:AWS458766 BGO458765:BGO458766 BQK458765:BQK458766 CAG458765:CAG458766 CKC458765:CKC458766 CTY458765:CTY458766 DDU458765:DDU458766 DNQ458765:DNQ458766 DXM458765:DXM458766 EHI458765:EHI458766 ERE458765:ERE458766 FBA458765:FBA458766 FKW458765:FKW458766 FUS458765:FUS458766 GEO458765:GEO458766 GOK458765:GOK458766 GYG458765:GYG458766 HIC458765:HIC458766 HRY458765:HRY458766 IBU458765:IBU458766 ILQ458765:ILQ458766 IVM458765:IVM458766 JFI458765:JFI458766 JPE458765:JPE458766 JZA458765:JZA458766 KIW458765:KIW458766 KSS458765:KSS458766 LCO458765:LCO458766 LMK458765:LMK458766 LWG458765:LWG458766 MGC458765:MGC458766 MPY458765:MPY458766 MZU458765:MZU458766 NJQ458765:NJQ458766 NTM458765:NTM458766 ODI458765:ODI458766 ONE458765:ONE458766 OXA458765:OXA458766 PGW458765:PGW458766 PQS458765:PQS458766 QAO458765:QAO458766 QKK458765:QKK458766 QUG458765:QUG458766 REC458765:REC458766 RNY458765:RNY458766 RXU458765:RXU458766 SHQ458765:SHQ458766 SRM458765:SRM458766 TBI458765:TBI458766 TLE458765:TLE458766 TVA458765:TVA458766 UEW458765:UEW458766 UOS458765:UOS458766 UYO458765:UYO458766 VIK458765:VIK458766 VSG458765:VSG458766 WCC458765:WCC458766 WLY458765:WLY458766 WVU458765:WVU458766 M524301:M524302 JI524301:JI524302 TE524301:TE524302 ADA524301:ADA524302 AMW524301:AMW524302 AWS524301:AWS524302 BGO524301:BGO524302 BQK524301:BQK524302 CAG524301:CAG524302 CKC524301:CKC524302 CTY524301:CTY524302 DDU524301:DDU524302 DNQ524301:DNQ524302 DXM524301:DXM524302 EHI524301:EHI524302 ERE524301:ERE524302 FBA524301:FBA524302 FKW524301:FKW524302 FUS524301:FUS524302 GEO524301:GEO524302 GOK524301:GOK524302 GYG524301:GYG524302 HIC524301:HIC524302 HRY524301:HRY524302 IBU524301:IBU524302 ILQ524301:ILQ524302 IVM524301:IVM524302 JFI524301:JFI524302 JPE524301:JPE524302 JZA524301:JZA524302 KIW524301:KIW524302 KSS524301:KSS524302 LCO524301:LCO524302 LMK524301:LMK524302 LWG524301:LWG524302 MGC524301:MGC524302 MPY524301:MPY524302 MZU524301:MZU524302 NJQ524301:NJQ524302 NTM524301:NTM524302 ODI524301:ODI524302 ONE524301:ONE524302 OXA524301:OXA524302 PGW524301:PGW524302 PQS524301:PQS524302 QAO524301:QAO524302 QKK524301:QKK524302 QUG524301:QUG524302 REC524301:REC524302 RNY524301:RNY524302 RXU524301:RXU524302 SHQ524301:SHQ524302 SRM524301:SRM524302 TBI524301:TBI524302 TLE524301:TLE524302 TVA524301:TVA524302 UEW524301:UEW524302 UOS524301:UOS524302 UYO524301:UYO524302 VIK524301:VIK524302 VSG524301:VSG524302 WCC524301:WCC524302 WLY524301:WLY524302 WVU524301:WVU524302 M589837:M589838 JI589837:JI589838 TE589837:TE589838 ADA589837:ADA589838 AMW589837:AMW589838 AWS589837:AWS589838 BGO589837:BGO589838 BQK589837:BQK589838 CAG589837:CAG589838 CKC589837:CKC589838 CTY589837:CTY589838 DDU589837:DDU589838 DNQ589837:DNQ589838 DXM589837:DXM589838 EHI589837:EHI589838 ERE589837:ERE589838 FBA589837:FBA589838 FKW589837:FKW589838 FUS589837:FUS589838 GEO589837:GEO589838 GOK589837:GOK589838 GYG589837:GYG589838 HIC589837:HIC589838 HRY589837:HRY589838 IBU589837:IBU589838 ILQ589837:ILQ589838 IVM589837:IVM589838 JFI589837:JFI589838 JPE589837:JPE589838 JZA589837:JZA589838 KIW589837:KIW589838 KSS589837:KSS589838 LCO589837:LCO589838 LMK589837:LMK589838 LWG589837:LWG589838 MGC589837:MGC589838 MPY589837:MPY589838 MZU589837:MZU589838 NJQ589837:NJQ589838 NTM589837:NTM589838 ODI589837:ODI589838 ONE589837:ONE589838 OXA589837:OXA589838 PGW589837:PGW589838 PQS589837:PQS589838 QAO589837:QAO589838 QKK589837:QKK589838 QUG589837:QUG589838 REC589837:REC589838 RNY589837:RNY589838 RXU589837:RXU589838 SHQ589837:SHQ589838 SRM589837:SRM589838 TBI589837:TBI589838 TLE589837:TLE589838 TVA589837:TVA589838 UEW589837:UEW589838 UOS589837:UOS589838 UYO589837:UYO589838 VIK589837:VIK589838 VSG589837:VSG589838 WCC589837:WCC589838 WLY589837:WLY589838 WVU589837:WVU589838 M655373:M655374 JI655373:JI655374 TE655373:TE655374 ADA655373:ADA655374 AMW655373:AMW655374 AWS655373:AWS655374 BGO655373:BGO655374 BQK655373:BQK655374 CAG655373:CAG655374 CKC655373:CKC655374 CTY655373:CTY655374 DDU655373:DDU655374 DNQ655373:DNQ655374 DXM655373:DXM655374 EHI655373:EHI655374 ERE655373:ERE655374 FBA655373:FBA655374 FKW655373:FKW655374 FUS655373:FUS655374 GEO655373:GEO655374 GOK655373:GOK655374 GYG655373:GYG655374 HIC655373:HIC655374 HRY655373:HRY655374 IBU655373:IBU655374 ILQ655373:ILQ655374 IVM655373:IVM655374 JFI655373:JFI655374 JPE655373:JPE655374 JZA655373:JZA655374 KIW655373:KIW655374 KSS655373:KSS655374 LCO655373:LCO655374 LMK655373:LMK655374 LWG655373:LWG655374 MGC655373:MGC655374 MPY655373:MPY655374 MZU655373:MZU655374 NJQ655373:NJQ655374 NTM655373:NTM655374 ODI655373:ODI655374 ONE655373:ONE655374 OXA655373:OXA655374 PGW655373:PGW655374 PQS655373:PQS655374 QAO655373:QAO655374 QKK655373:QKK655374 QUG655373:QUG655374 REC655373:REC655374 RNY655373:RNY655374 RXU655373:RXU655374 SHQ655373:SHQ655374 SRM655373:SRM655374 TBI655373:TBI655374 TLE655373:TLE655374 TVA655373:TVA655374 UEW655373:UEW655374 UOS655373:UOS655374 UYO655373:UYO655374 VIK655373:VIK655374 VSG655373:VSG655374 WCC655373:WCC655374 WLY655373:WLY655374 WVU655373:WVU655374 M720909:M720910 JI720909:JI720910 TE720909:TE720910 ADA720909:ADA720910 AMW720909:AMW720910 AWS720909:AWS720910 BGO720909:BGO720910 BQK720909:BQK720910 CAG720909:CAG720910 CKC720909:CKC720910 CTY720909:CTY720910 DDU720909:DDU720910 DNQ720909:DNQ720910 DXM720909:DXM720910 EHI720909:EHI720910 ERE720909:ERE720910 FBA720909:FBA720910 FKW720909:FKW720910 FUS720909:FUS720910 GEO720909:GEO720910 GOK720909:GOK720910 GYG720909:GYG720910 HIC720909:HIC720910 HRY720909:HRY720910 IBU720909:IBU720910 ILQ720909:ILQ720910 IVM720909:IVM720910 JFI720909:JFI720910 JPE720909:JPE720910 JZA720909:JZA720910 KIW720909:KIW720910 KSS720909:KSS720910 LCO720909:LCO720910 LMK720909:LMK720910 LWG720909:LWG720910 MGC720909:MGC720910 MPY720909:MPY720910 MZU720909:MZU720910 NJQ720909:NJQ720910 NTM720909:NTM720910 ODI720909:ODI720910 ONE720909:ONE720910 OXA720909:OXA720910 PGW720909:PGW720910 PQS720909:PQS720910 QAO720909:QAO720910 QKK720909:QKK720910 QUG720909:QUG720910 REC720909:REC720910 RNY720909:RNY720910 RXU720909:RXU720910 SHQ720909:SHQ720910 SRM720909:SRM720910 TBI720909:TBI720910 TLE720909:TLE720910 TVA720909:TVA720910 UEW720909:UEW720910 UOS720909:UOS720910 UYO720909:UYO720910 VIK720909:VIK720910 VSG720909:VSG720910 WCC720909:WCC720910 WLY720909:WLY720910 WVU720909:WVU720910 M786445:M786446 JI786445:JI786446 TE786445:TE786446 ADA786445:ADA786446 AMW786445:AMW786446 AWS786445:AWS786446 BGO786445:BGO786446 BQK786445:BQK786446 CAG786445:CAG786446 CKC786445:CKC786446 CTY786445:CTY786446 DDU786445:DDU786446 DNQ786445:DNQ786446 DXM786445:DXM786446 EHI786445:EHI786446 ERE786445:ERE786446 FBA786445:FBA786446 FKW786445:FKW786446 FUS786445:FUS786446 GEO786445:GEO786446 GOK786445:GOK786446 GYG786445:GYG786446 HIC786445:HIC786446 HRY786445:HRY786446 IBU786445:IBU786446 ILQ786445:ILQ786446 IVM786445:IVM786446 JFI786445:JFI786446 JPE786445:JPE786446 JZA786445:JZA786446 KIW786445:KIW786446 KSS786445:KSS786446 LCO786445:LCO786446 LMK786445:LMK786446 LWG786445:LWG786446 MGC786445:MGC786446 MPY786445:MPY786446 MZU786445:MZU786446 NJQ786445:NJQ786446 NTM786445:NTM786446 ODI786445:ODI786446 ONE786445:ONE786446 OXA786445:OXA786446 PGW786445:PGW786446 PQS786445:PQS786446 QAO786445:QAO786446 QKK786445:QKK786446 QUG786445:QUG786446 REC786445:REC786446 RNY786445:RNY786446 RXU786445:RXU786446 SHQ786445:SHQ786446 SRM786445:SRM786446 TBI786445:TBI786446 TLE786445:TLE786446 TVA786445:TVA786446 UEW786445:UEW786446 UOS786445:UOS786446 UYO786445:UYO786446 VIK786445:VIK786446 VSG786445:VSG786446 WCC786445:WCC786446 WLY786445:WLY786446 WVU786445:WVU786446 M851981:M851982 JI851981:JI851982 TE851981:TE851982 ADA851981:ADA851982 AMW851981:AMW851982 AWS851981:AWS851982 BGO851981:BGO851982 BQK851981:BQK851982 CAG851981:CAG851982 CKC851981:CKC851982 CTY851981:CTY851982 DDU851981:DDU851982 DNQ851981:DNQ851982 DXM851981:DXM851982 EHI851981:EHI851982 ERE851981:ERE851982 FBA851981:FBA851982 FKW851981:FKW851982 FUS851981:FUS851982 GEO851981:GEO851982 GOK851981:GOK851982 GYG851981:GYG851982 HIC851981:HIC851982 HRY851981:HRY851982 IBU851981:IBU851982 ILQ851981:ILQ851982 IVM851981:IVM851982 JFI851981:JFI851982 JPE851981:JPE851982 JZA851981:JZA851982 KIW851981:KIW851982 KSS851981:KSS851982 LCO851981:LCO851982 LMK851981:LMK851982 LWG851981:LWG851982 MGC851981:MGC851982 MPY851981:MPY851982 MZU851981:MZU851982 NJQ851981:NJQ851982 NTM851981:NTM851982 ODI851981:ODI851982 ONE851981:ONE851982 OXA851981:OXA851982 PGW851981:PGW851982 PQS851981:PQS851982 QAO851981:QAO851982 QKK851981:QKK851982 QUG851981:QUG851982 REC851981:REC851982 RNY851981:RNY851982 RXU851981:RXU851982 SHQ851981:SHQ851982 SRM851981:SRM851982 TBI851981:TBI851982 TLE851981:TLE851982 TVA851981:TVA851982 UEW851981:UEW851982 UOS851981:UOS851982 UYO851981:UYO851982 VIK851981:VIK851982 VSG851981:VSG851982 WCC851981:WCC851982 WLY851981:WLY851982 WVU851981:WVU851982 M917517:M917518 JI917517:JI917518 TE917517:TE917518 ADA917517:ADA917518 AMW917517:AMW917518 AWS917517:AWS917518 BGO917517:BGO917518 BQK917517:BQK917518 CAG917517:CAG917518 CKC917517:CKC917518 CTY917517:CTY917518 DDU917517:DDU917518 DNQ917517:DNQ917518 DXM917517:DXM917518 EHI917517:EHI917518 ERE917517:ERE917518 FBA917517:FBA917518 FKW917517:FKW917518 FUS917517:FUS917518 GEO917517:GEO917518 GOK917517:GOK917518 GYG917517:GYG917518 HIC917517:HIC917518 HRY917517:HRY917518 IBU917517:IBU917518 ILQ917517:ILQ917518 IVM917517:IVM917518 JFI917517:JFI917518 JPE917517:JPE917518 JZA917517:JZA917518 KIW917517:KIW917518 KSS917517:KSS917518 LCO917517:LCO917518 LMK917517:LMK917518 LWG917517:LWG917518 MGC917517:MGC917518 MPY917517:MPY917518 MZU917517:MZU917518 NJQ917517:NJQ917518 NTM917517:NTM917518 ODI917517:ODI917518 ONE917517:ONE917518 OXA917517:OXA917518 PGW917517:PGW917518 PQS917517:PQS917518 QAO917517:QAO917518 QKK917517:QKK917518 QUG917517:QUG917518 REC917517:REC917518 RNY917517:RNY917518 RXU917517:RXU917518 SHQ917517:SHQ917518 SRM917517:SRM917518 TBI917517:TBI917518 TLE917517:TLE917518 TVA917517:TVA917518 UEW917517:UEW917518 UOS917517:UOS917518 UYO917517:UYO917518 VIK917517:VIK917518 VSG917517:VSG917518 WCC917517:WCC917518 WLY917517:WLY917518 WVU917517:WVU917518 M983053:M983054 JI983053:JI983054 TE983053:TE983054 ADA983053:ADA983054 AMW983053:AMW983054 AWS983053:AWS983054 BGO983053:BGO983054 BQK983053:BQK983054 CAG983053:CAG983054 CKC983053:CKC983054 CTY983053:CTY983054 DDU983053:DDU983054 DNQ983053:DNQ983054 DXM983053:DXM983054 EHI983053:EHI983054 ERE983053:ERE983054 FBA983053:FBA983054 FKW983053:FKW983054 FUS983053:FUS983054 GEO983053:GEO983054 GOK983053:GOK983054 GYG983053:GYG983054 HIC983053:HIC983054 HRY983053:HRY983054 IBU983053:IBU983054 ILQ983053:ILQ983054 IVM983053:IVM983054 JFI983053:JFI983054 JPE983053:JPE983054 JZA983053:JZA983054 KIW983053:KIW983054 KSS983053:KSS983054 LCO983053:LCO983054 LMK983053:LMK983054 LWG983053:LWG983054 MGC983053:MGC983054 MPY983053:MPY983054 MZU983053:MZU983054 NJQ983053:NJQ983054 NTM983053:NTM983054 ODI983053:ODI983054 ONE983053:ONE983054 OXA983053:OXA983054 PGW983053:PGW983054 PQS983053:PQS983054 QAO983053:QAO983054 QKK983053:QKK983054 QUG983053:QUG983054 REC983053:REC983054 RNY983053:RNY983054 RXU983053:RXU983054 SHQ983053:SHQ983054 SRM983053:SRM983054 TBI983053:TBI983054 TLE983053:TLE983054 TVA983053:TVA983054 UEW983053:UEW983054 UOS983053:UOS983054 UYO983053:UYO983054 VIK983053:VIK983054 VSG983053:VSG983054 WCC983053:WCC983054 WLY983053:WLY983054 WVU983053:WVU983054">
      <formula1>"上,中,下"</formula1>
    </dataValidation>
    <dataValidation type="whole" allowBlank="1" showInputMessage="1" showErrorMessage="1" sqref="L13:L14 JH13:JH14 TD13:TD14 ACZ13:ACZ14 AMV13:AMV14 AWR13:AWR14 BGN13:BGN14 BQJ13:BQJ14 CAF13:CAF14 CKB13:CKB14 CTX13:CTX14 DDT13:DDT14 DNP13:DNP14 DXL13:DXL14 EHH13:EHH14 ERD13:ERD14 FAZ13:FAZ14 FKV13:FKV14 FUR13:FUR14 GEN13:GEN14 GOJ13:GOJ14 GYF13:GYF14 HIB13:HIB14 HRX13:HRX14 IBT13:IBT14 ILP13:ILP14 IVL13:IVL14 JFH13:JFH14 JPD13:JPD14 JYZ13:JYZ14 KIV13:KIV14 KSR13:KSR14 LCN13:LCN14 LMJ13:LMJ14 LWF13:LWF14 MGB13:MGB14 MPX13:MPX14 MZT13:MZT14 NJP13:NJP14 NTL13:NTL14 ODH13:ODH14 OND13:OND14 OWZ13:OWZ14 PGV13:PGV14 PQR13:PQR14 QAN13:QAN14 QKJ13:QKJ14 QUF13:QUF14 REB13:REB14 RNX13:RNX14 RXT13:RXT14 SHP13:SHP14 SRL13:SRL14 TBH13:TBH14 TLD13:TLD14 TUZ13:TUZ14 UEV13:UEV14 UOR13:UOR14 UYN13:UYN14 VIJ13:VIJ14 VSF13:VSF14 WCB13:WCB14 WLX13:WLX14 WVT13:WVT14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formula1>1</formula1>
      <formula2>12</formula2>
    </dataValidation>
  </dataValidations>
  <printOptions horizontalCentered="1"/>
  <pageMargins left="0.78740157480314965" right="0.78740157480314965" top="0.78740157480314965" bottom="0.78740157480314965" header="0.51181102362204722" footer="0.51181102362204722"/>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A1:X110"/>
  <sheetViews>
    <sheetView showGridLines="0" workbookViewId="0">
      <pane ySplit="5" topLeftCell="A9" activePane="bottomLeft" state="frozen"/>
      <selection activeCell="I22" sqref="I22"/>
      <selection pane="bottomLeft" activeCell="B19" sqref="B19"/>
    </sheetView>
  </sheetViews>
  <sheetFormatPr defaultRowHeight="13.5" zeroHeight="1"/>
  <cols>
    <col min="1" max="1" width="13.5" style="85" bestFit="1" customWidth="1"/>
    <col min="2" max="2" width="32.375" style="85" customWidth="1"/>
    <col min="3" max="3" width="14.5" style="85" customWidth="1"/>
    <col min="4" max="4" width="39" style="85" bestFit="1" customWidth="1"/>
    <col min="5" max="5" width="25.875" style="85" bestFit="1" customWidth="1"/>
    <col min="6" max="6" width="3.125" style="84" customWidth="1"/>
    <col min="7" max="24" width="9" style="84"/>
    <col min="25" max="16384" width="9" style="85"/>
  </cols>
  <sheetData>
    <row r="1" spans="1:24" s="83" customFormat="1">
      <c r="A1" s="81" t="s">
        <v>0</v>
      </c>
      <c r="B1" s="81" t="s">
        <v>278</v>
      </c>
      <c r="C1" s="81" t="s">
        <v>1</v>
      </c>
      <c r="D1" s="81" t="s">
        <v>2</v>
      </c>
      <c r="E1" s="294" t="s">
        <v>420</v>
      </c>
      <c r="F1" s="82"/>
      <c r="G1" s="82"/>
      <c r="H1" s="82"/>
      <c r="I1" s="82"/>
      <c r="J1" s="82"/>
      <c r="K1" s="82"/>
      <c r="L1" s="82"/>
      <c r="M1" s="82"/>
      <c r="N1" s="82"/>
      <c r="O1" s="82"/>
      <c r="P1" s="82"/>
      <c r="Q1" s="82"/>
      <c r="R1" s="82"/>
      <c r="S1" s="82"/>
      <c r="T1" s="82"/>
      <c r="U1" s="82"/>
      <c r="V1" s="82"/>
      <c r="W1" s="82"/>
      <c r="X1" s="82"/>
    </row>
    <row r="2" spans="1:24">
      <c r="A2" s="375" t="s">
        <v>293</v>
      </c>
      <c r="B2" s="243" t="s">
        <v>605</v>
      </c>
      <c r="C2" s="243" t="s">
        <v>617</v>
      </c>
      <c r="D2" s="337" t="s">
        <v>464</v>
      </c>
      <c r="E2" s="338">
        <v>0.1</v>
      </c>
    </row>
    <row r="3" spans="1:24" ht="9.75" customHeight="1">
      <c r="A3" s="376"/>
      <c r="B3" s="376"/>
      <c r="C3" s="376"/>
      <c r="D3" s="376"/>
      <c r="E3" s="376"/>
    </row>
    <row r="4" spans="1:24">
      <c r="A4" s="376" t="s">
        <v>3</v>
      </c>
      <c r="B4" s="376"/>
      <c r="C4" s="376"/>
      <c r="D4" s="376"/>
      <c r="E4" s="376"/>
    </row>
    <row r="5" spans="1:24" ht="21.95" customHeight="1">
      <c r="A5" s="86" t="s">
        <v>4</v>
      </c>
      <c r="B5" s="81" t="s">
        <v>5</v>
      </c>
      <c r="C5" s="81" t="s">
        <v>6</v>
      </c>
      <c r="D5" s="87" t="s">
        <v>7</v>
      </c>
      <c r="E5" s="81" t="s">
        <v>8</v>
      </c>
    </row>
    <row r="6" spans="1:24" ht="24" customHeight="1">
      <c r="A6" s="433" t="s">
        <v>287</v>
      </c>
      <c r="B6" s="616" t="s">
        <v>603</v>
      </c>
      <c r="C6" s="616" t="s">
        <v>606</v>
      </c>
      <c r="D6" s="619" t="s">
        <v>604</v>
      </c>
      <c r="E6" s="331"/>
    </row>
    <row r="7" spans="1:24" ht="24" customHeight="1">
      <c r="A7" s="334" t="s">
        <v>465</v>
      </c>
      <c r="B7" s="332" t="s">
        <v>551</v>
      </c>
      <c r="C7" s="738" t="s">
        <v>607</v>
      </c>
      <c r="D7" s="333" t="s">
        <v>518</v>
      </c>
      <c r="E7" s="332"/>
    </row>
    <row r="8" spans="1:24" ht="24" customHeight="1">
      <c r="A8" s="334" t="s">
        <v>288</v>
      </c>
      <c r="B8" s="332" t="s">
        <v>529</v>
      </c>
      <c r="C8" s="332" t="s">
        <v>611</v>
      </c>
      <c r="D8" s="333" t="s">
        <v>517</v>
      </c>
      <c r="E8" s="332"/>
    </row>
    <row r="9" spans="1:24" ht="24" customHeight="1">
      <c r="A9" s="334" t="s">
        <v>289</v>
      </c>
      <c r="B9" s="332" t="s">
        <v>510</v>
      </c>
      <c r="C9" s="617" t="s">
        <v>588</v>
      </c>
      <c r="D9" s="333" t="s">
        <v>511</v>
      </c>
      <c r="E9" s="634"/>
    </row>
    <row r="10" spans="1:24" ht="24" customHeight="1">
      <c r="A10" s="334" t="s">
        <v>514</v>
      </c>
      <c r="B10" s="617" t="s">
        <v>593</v>
      </c>
      <c r="C10" s="617" t="s">
        <v>588</v>
      </c>
      <c r="D10" s="333" t="s">
        <v>515</v>
      </c>
      <c r="E10" s="633"/>
    </row>
    <row r="11" spans="1:24" ht="24" customHeight="1">
      <c r="A11" s="334" t="s">
        <v>291</v>
      </c>
      <c r="B11" s="332" t="s">
        <v>565</v>
      </c>
      <c r="C11" s="738" t="s">
        <v>609</v>
      </c>
      <c r="D11" s="333" t="s">
        <v>513</v>
      </c>
      <c r="E11" s="332"/>
    </row>
    <row r="12" spans="1:24" ht="24" customHeight="1">
      <c r="A12" s="334" t="s">
        <v>531</v>
      </c>
      <c r="B12" s="332" t="s">
        <v>586</v>
      </c>
      <c r="C12" s="738" t="s">
        <v>610</v>
      </c>
      <c r="D12" s="333" t="s">
        <v>552</v>
      </c>
      <c r="E12" s="332"/>
    </row>
    <row r="13" spans="1:24" ht="24" customHeight="1">
      <c r="A13" s="334" t="s">
        <v>466</v>
      </c>
      <c r="B13" s="332"/>
      <c r="C13" s="738" t="s">
        <v>608</v>
      </c>
      <c r="D13" s="333" t="s">
        <v>516</v>
      </c>
      <c r="E13" s="332"/>
    </row>
    <row r="14" spans="1:24" ht="24" customHeight="1">
      <c r="A14" s="334" t="s">
        <v>467</v>
      </c>
      <c r="B14" s="332" t="s">
        <v>618</v>
      </c>
      <c r="C14" s="332" t="s">
        <v>611</v>
      </c>
      <c r="D14" s="333" t="s">
        <v>622</v>
      </c>
      <c r="E14" s="332"/>
    </row>
    <row r="15" spans="1:24" ht="24" customHeight="1">
      <c r="A15" s="334" t="s">
        <v>292</v>
      </c>
      <c r="B15" s="617" t="s">
        <v>594</v>
      </c>
      <c r="C15" s="617" t="s">
        <v>614</v>
      </c>
      <c r="D15" s="333" t="s">
        <v>621</v>
      </c>
      <c r="E15" s="617"/>
    </row>
    <row r="16" spans="1:24" ht="24" customHeight="1">
      <c r="A16" s="334" t="s">
        <v>468</v>
      </c>
      <c r="B16" s="332" t="s">
        <v>619</v>
      </c>
      <c r="C16" s="617" t="s">
        <v>615</v>
      </c>
      <c r="D16" s="333" t="s">
        <v>620</v>
      </c>
      <c r="E16" s="332"/>
    </row>
    <row r="17" spans="1:5" ht="24" customHeight="1">
      <c r="A17" s="334" t="s">
        <v>469</v>
      </c>
      <c r="B17" s="617" t="s">
        <v>587</v>
      </c>
      <c r="C17" s="617" t="s">
        <v>615</v>
      </c>
      <c r="D17" s="333" t="s">
        <v>512</v>
      </c>
      <c r="E17" s="617"/>
    </row>
    <row r="18" spans="1:5" ht="24" customHeight="1">
      <c r="A18" s="334" t="s">
        <v>623</v>
      </c>
      <c r="B18" s="332"/>
      <c r="C18" s="617" t="s">
        <v>589</v>
      </c>
      <c r="D18" s="333" t="s">
        <v>524</v>
      </c>
      <c r="E18" s="332"/>
    </row>
    <row r="19" spans="1:5" ht="24" customHeight="1">
      <c r="A19" s="646" t="s">
        <v>159</v>
      </c>
      <c r="B19" s="332" t="s">
        <v>624</v>
      </c>
      <c r="C19" s="332" t="s">
        <v>612</v>
      </c>
      <c r="D19" s="646"/>
      <c r="E19" s="332"/>
    </row>
    <row r="20" spans="1:5" ht="24" customHeight="1">
      <c r="A20" s="334"/>
      <c r="B20" s="332"/>
      <c r="C20" s="332"/>
      <c r="D20" s="333"/>
      <c r="E20" s="332"/>
    </row>
    <row r="21" spans="1:5" ht="24" customHeight="1">
      <c r="A21" s="334"/>
      <c r="B21" s="332"/>
      <c r="C21" s="332"/>
      <c r="D21" s="333"/>
      <c r="E21" s="332"/>
    </row>
    <row r="22" spans="1:5" ht="24" customHeight="1">
      <c r="A22" s="334"/>
      <c r="B22" s="332"/>
      <c r="C22" s="332"/>
      <c r="D22" s="333"/>
      <c r="E22" s="332"/>
    </row>
    <row r="23" spans="1:5" ht="24" customHeight="1">
      <c r="A23" s="335"/>
      <c r="B23" s="335"/>
      <c r="C23" s="335"/>
      <c r="D23" s="335"/>
      <c r="E23" s="335"/>
    </row>
    <row r="24" spans="1:5" ht="24" customHeight="1">
      <c r="A24" s="336"/>
      <c r="B24" s="336"/>
      <c r="C24" s="336"/>
      <c r="D24" s="336"/>
      <c r="E24" s="336"/>
    </row>
    <row r="25" spans="1:5">
      <c r="A25" s="84"/>
      <c r="B25" s="84"/>
      <c r="C25" s="84"/>
      <c r="D25" s="84"/>
      <c r="E25" s="84"/>
    </row>
    <row r="26" spans="1:5">
      <c r="A26" s="84"/>
      <c r="B26" s="84"/>
      <c r="C26" s="84"/>
      <c r="D26" s="84"/>
      <c r="E26" s="84"/>
    </row>
    <row r="27" spans="1:5">
      <c r="A27" s="84"/>
      <c r="B27" s="84"/>
      <c r="C27" s="84"/>
      <c r="D27" s="84"/>
      <c r="E27" s="84"/>
    </row>
    <row r="28" spans="1:5">
      <c r="A28" s="84"/>
      <c r="B28" s="84"/>
      <c r="C28" s="84"/>
      <c r="D28" s="84"/>
      <c r="E28" s="84"/>
    </row>
    <row r="29" spans="1:5">
      <c r="A29" s="84"/>
      <c r="B29" s="84"/>
      <c r="C29" s="84"/>
      <c r="D29" s="84"/>
      <c r="E29" s="84"/>
    </row>
    <row r="30" spans="1:5">
      <c r="A30" s="84"/>
      <c r="B30" s="84"/>
      <c r="C30" s="84"/>
      <c r="D30" s="84"/>
      <c r="E30" s="84"/>
    </row>
    <row r="31" spans="1:5">
      <c r="A31" s="84"/>
      <c r="B31" s="84"/>
      <c r="C31" s="84"/>
      <c r="D31" s="84"/>
      <c r="E31" s="84"/>
    </row>
    <row r="32" spans="1:5">
      <c r="A32" s="84"/>
      <c r="B32" s="84"/>
      <c r="C32" s="84"/>
      <c r="D32" s="84"/>
      <c r="E32" s="84"/>
    </row>
    <row r="33" spans="1:5">
      <c r="A33" s="84"/>
      <c r="B33" s="84"/>
      <c r="C33" s="84"/>
      <c r="D33" s="84"/>
      <c r="E33" s="84"/>
    </row>
    <row r="34" spans="1:5">
      <c r="A34" s="84"/>
      <c r="B34" s="84"/>
      <c r="C34" s="84"/>
      <c r="D34" s="84"/>
      <c r="E34" s="84"/>
    </row>
    <row r="35" spans="1:5"/>
    <row r="36" spans="1:5"/>
    <row r="37" spans="1:5"/>
    <row r="38" spans="1:5"/>
    <row r="39" spans="1:5"/>
    <row r="40" spans="1:5"/>
    <row r="41" spans="1:5"/>
    <row r="42" spans="1:5"/>
    <row r="43" spans="1:5"/>
    <row r="44" spans="1:5"/>
    <row r="45" spans="1:5"/>
    <row r="46" spans="1:5"/>
    <row r="47" spans="1:5"/>
    <row r="48" spans="1: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sheetData>
  <sheetProtection selectLockedCells="1"/>
  <phoneticPr fontId="14"/>
  <printOptions horizontalCentered="1"/>
  <pageMargins left="0.78740157480314965" right="0.78740157480314965" top="1.1811023622047245" bottom="0.39370078740157483" header="0.78740157480314965" footer="0.51181102362204722"/>
  <pageSetup paperSize="9" scale="88" firstPageNumber="0" orientation="landscape" cellComments="asDisplayed" horizontalDpi="4294967293" verticalDpi="300" r:id="rId1"/>
  <headerFooter alignWithMargins="0">
    <oddHeader>&amp;L夏秋トマト（低段密植年２作）（中間～山間地域）</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CG124"/>
  <sheetViews>
    <sheetView showGridLines="0" tabSelected="1" workbookViewId="0">
      <pane xSplit="1" ySplit="4" topLeftCell="B5" activePane="bottomRight" state="frozen"/>
      <selection pane="topRight" activeCell="B1" sqref="B1"/>
      <selection pane="bottomLeft" activeCell="A5" sqref="A5"/>
      <selection pane="bottomRight" activeCell="D13" sqref="D13"/>
    </sheetView>
  </sheetViews>
  <sheetFormatPr defaultRowHeight="12" zeroHeight="1"/>
  <cols>
    <col min="1" max="1" width="3.875" style="92" customWidth="1"/>
    <col min="2" max="2" width="2.875" style="92" customWidth="1"/>
    <col min="3" max="3" width="19.375" style="92" customWidth="1"/>
    <col min="4" max="4" width="27.125" style="92" customWidth="1"/>
    <col min="5" max="5" width="3.625" style="92" customWidth="1"/>
    <col min="6" max="6" width="2.625" style="92" bestFit="1" customWidth="1"/>
    <col min="7" max="8" width="3.375" style="92" customWidth="1"/>
    <col min="9" max="9" width="5.25" style="92" customWidth="1"/>
    <col min="10" max="12" width="12.25" style="92" customWidth="1"/>
    <col min="13" max="13" width="5.75" style="93" customWidth="1"/>
    <col min="14" max="15" width="11.25" style="93" customWidth="1"/>
    <col min="16" max="16" width="11.25" style="154" customWidth="1"/>
    <col min="17" max="19" width="11.25" style="92" customWidth="1"/>
    <col min="20" max="20" width="27.25" style="92" bestFit="1" customWidth="1"/>
    <col min="21" max="21" width="4.5" style="92" customWidth="1"/>
    <col min="22" max="22" width="15.125" style="92" customWidth="1"/>
    <col min="23" max="23" width="11.5" style="92" customWidth="1"/>
    <col min="24" max="24" width="12.125" style="92" customWidth="1"/>
    <col min="25" max="25" width="7.875" style="92" customWidth="1"/>
    <col min="26" max="26" width="8.875" style="92" customWidth="1"/>
    <col min="27" max="27" width="4.875" style="92" customWidth="1"/>
    <col min="28" max="28" width="16.25" style="92" customWidth="1"/>
    <col min="29" max="29" width="11.875" style="92" customWidth="1"/>
    <col min="30" max="30" width="8.25" style="92" customWidth="1"/>
    <col min="31" max="31" width="6.125" style="92" customWidth="1"/>
    <col min="32" max="32" width="6.625" style="92" customWidth="1"/>
    <col min="33" max="33" width="12.5" style="92" customWidth="1"/>
    <col min="34" max="16384" width="9" style="92"/>
  </cols>
  <sheetData>
    <row r="1" spans="1:85" ht="16.5" customHeight="1">
      <c r="A1" s="400" t="s">
        <v>9</v>
      </c>
      <c r="B1" s="88"/>
      <c r="C1" s="88"/>
      <c r="D1" s="89" t="s">
        <v>10</v>
      </c>
      <c r="E1" s="846">
        <f>①技術体系!E2*100</f>
        <v>10</v>
      </c>
      <c r="F1" s="846"/>
      <c r="G1" s="90" t="s">
        <v>11</v>
      </c>
      <c r="H1" s="91"/>
      <c r="I1" s="91"/>
      <c r="J1" s="91"/>
      <c r="P1" s="93"/>
      <c r="Q1" s="94" t="str">
        <f>①技術体系!A2</f>
        <v>トマト</v>
      </c>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row>
    <row r="2" spans="1:85" ht="18.75" customHeight="1">
      <c r="A2" s="830" t="s">
        <v>12</v>
      </c>
      <c r="B2" s="830"/>
      <c r="C2" s="830"/>
      <c r="D2" s="96" t="s">
        <v>13</v>
      </c>
      <c r="E2" s="835" t="s">
        <v>14</v>
      </c>
      <c r="F2" s="835" t="s">
        <v>15</v>
      </c>
      <c r="G2" s="835" t="s">
        <v>16</v>
      </c>
      <c r="H2" s="829" t="s">
        <v>17</v>
      </c>
      <c r="I2" s="829" t="s">
        <v>18</v>
      </c>
      <c r="J2" s="193" t="s">
        <v>19</v>
      </c>
      <c r="K2" s="193" t="s">
        <v>20</v>
      </c>
      <c r="L2" s="96" t="s">
        <v>21</v>
      </c>
      <c r="M2" s="824" t="s">
        <v>22</v>
      </c>
      <c r="N2" s="825"/>
      <c r="O2" s="825"/>
      <c r="P2" s="825"/>
      <c r="Q2" s="825"/>
      <c r="R2" s="825"/>
      <c r="S2" s="826"/>
      <c r="T2" s="193"/>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row>
    <row r="3" spans="1:85" ht="17.25" customHeight="1">
      <c r="A3" s="97"/>
      <c r="B3" s="98"/>
      <c r="C3" s="99"/>
      <c r="D3" s="99"/>
      <c r="E3" s="835"/>
      <c r="F3" s="835"/>
      <c r="G3" s="835"/>
      <c r="H3" s="829"/>
      <c r="I3" s="829"/>
      <c r="J3" s="100"/>
      <c r="K3" s="100" t="s">
        <v>23</v>
      </c>
      <c r="L3" s="99" t="s">
        <v>20</v>
      </c>
      <c r="M3" s="827" t="s">
        <v>24</v>
      </c>
      <c r="N3" s="99" t="s">
        <v>25</v>
      </c>
      <c r="O3" s="99" t="s">
        <v>26</v>
      </c>
      <c r="P3" s="99" t="s">
        <v>27</v>
      </c>
      <c r="Q3" s="99" t="s">
        <v>28</v>
      </c>
      <c r="R3" s="99" t="s">
        <v>28</v>
      </c>
      <c r="S3" s="99" t="s">
        <v>29</v>
      </c>
      <c r="T3" s="99" t="s">
        <v>30</v>
      </c>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row>
    <row r="4" spans="1:85" ht="18" customHeight="1">
      <c r="A4" s="101"/>
      <c r="B4" s="102"/>
      <c r="C4" s="103"/>
      <c r="D4" s="103"/>
      <c r="E4" s="835"/>
      <c r="F4" s="835"/>
      <c r="G4" s="835"/>
      <c r="H4" s="829"/>
      <c r="I4" s="829"/>
      <c r="J4" s="104"/>
      <c r="K4" s="104"/>
      <c r="L4" s="103"/>
      <c r="M4" s="827"/>
      <c r="N4" s="103"/>
      <c r="O4" s="103"/>
      <c r="P4" s="103"/>
      <c r="Q4" s="103"/>
      <c r="R4" s="105" t="s">
        <v>31</v>
      </c>
      <c r="S4" s="105" t="s">
        <v>31</v>
      </c>
      <c r="T4" s="103"/>
      <c r="U4" s="95"/>
      <c r="V4" s="23"/>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row>
    <row r="5" spans="1:85" ht="14.1" customHeight="1">
      <c r="A5" s="106"/>
      <c r="B5" s="831" t="s">
        <v>299</v>
      </c>
      <c r="C5" s="832"/>
      <c r="D5" s="107" t="s">
        <v>566</v>
      </c>
      <c r="E5" s="108">
        <v>1</v>
      </c>
      <c r="F5" s="108" t="s">
        <v>298</v>
      </c>
      <c r="G5" s="109"/>
      <c r="H5" s="108">
        <v>24</v>
      </c>
      <c r="I5" s="119">
        <v>1</v>
      </c>
      <c r="J5" s="110">
        <v>1819000</v>
      </c>
      <c r="K5" s="357">
        <f>J5*E5</f>
        <v>1819000</v>
      </c>
      <c r="L5" s="358">
        <f>IF(I5="",K5,I5*K5)</f>
        <v>1819000</v>
      </c>
      <c r="M5" s="109">
        <v>0.3</v>
      </c>
      <c r="N5" s="367">
        <f>IF(I5="",INT(K5*M5),INT(K5*I5*M5))</f>
        <v>545700</v>
      </c>
      <c r="O5" s="367">
        <f>N5*(G5)</f>
        <v>0</v>
      </c>
      <c r="P5" s="368">
        <f>N5-O5</f>
        <v>545700</v>
      </c>
      <c r="Q5" s="367">
        <f>IF(H5="",0,ROUND(P5/H5,0))</f>
        <v>22738</v>
      </c>
      <c r="R5" s="367">
        <f>IF(Q5=0,0,INT(Q5/$E$1*10))</f>
        <v>22738</v>
      </c>
      <c r="S5" s="367">
        <f>IF(R5=0,0,$D$36*K5*M5/$E$1*10)</f>
        <v>5457</v>
      </c>
      <c r="T5" s="297" t="s">
        <v>470</v>
      </c>
      <c r="U5" s="191"/>
      <c r="V5" s="192"/>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row>
    <row r="6" spans="1:85" ht="14.1" customHeight="1">
      <c r="A6" s="111" t="s">
        <v>32</v>
      </c>
      <c r="B6" s="833"/>
      <c r="C6" s="834"/>
      <c r="D6" s="107"/>
      <c r="E6" s="108"/>
      <c r="F6" s="108"/>
      <c r="G6" s="109"/>
      <c r="H6" s="108"/>
      <c r="I6" s="119"/>
      <c r="J6" s="112"/>
      <c r="K6" s="357">
        <f>J6*E6</f>
        <v>0</v>
      </c>
      <c r="L6" s="359">
        <f>IF(I6="",K6,I6*K6)</f>
        <v>0</v>
      </c>
      <c r="M6" s="109"/>
      <c r="N6" s="367">
        <f>IF(I6="",INT(K6*M6),INT(K6*I6*M6))</f>
        <v>0</v>
      </c>
      <c r="O6" s="367">
        <f>N6*(G6)</f>
        <v>0</v>
      </c>
      <c r="P6" s="368">
        <f>N6-O6</f>
        <v>0</v>
      </c>
      <c r="Q6" s="367">
        <f>IF(H6="",0,ROUND(P6/H6,0))</f>
        <v>0</v>
      </c>
      <c r="R6" s="367">
        <f t="shared" ref="R6:R19" si="0">IF(Q6=0,0,INT(Q6/$E$1*10))</f>
        <v>0</v>
      </c>
      <c r="S6" s="367">
        <f>IF(R6=0,0,$D$36*K6*M6/$E$1*10)</f>
        <v>0</v>
      </c>
      <c r="T6" s="298"/>
      <c r="U6" s="95"/>
      <c r="V6" s="1"/>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row>
    <row r="7" spans="1:85" ht="14.1" customHeight="1">
      <c r="A7" s="111" t="s">
        <v>33</v>
      </c>
      <c r="B7" s="833"/>
      <c r="C7" s="834"/>
      <c r="D7" s="107"/>
      <c r="E7" s="108"/>
      <c r="F7" s="108"/>
      <c r="G7" s="109"/>
      <c r="H7" s="108"/>
      <c r="I7" s="119"/>
      <c r="J7" s="113"/>
      <c r="K7" s="357">
        <f>J7*E7</f>
        <v>0</v>
      </c>
      <c r="L7" s="359">
        <f>IF(I7="",K7,I7*K7)</f>
        <v>0</v>
      </c>
      <c r="M7" s="109"/>
      <c r="N7" s="367">
        <f>IF(I7="",INT(K7*M7),INT(K7*I7*M7))</f>
        <v>0</v>
      </c>
      <c r="O7" s="367">
        <f>N7*(G7)</f>
        <v>0</v>
      </c>
      <c r="P7" s="368">
        <f>N7-O7</f>
        <v>0</v>
      </c>
      <c r="Q7" s="367">
        <f>IF(H7="",0,ROUND(P7/H7,0))</f>
        <v>0</v>
      </c>
      <c r="R7" s="367">
        <f t="shared" si="0"/>
        <v>0</v>
      </c>
      <c r="S7" s="367">
        <f>IF(R7=0,0,$D$36*K7*M7/$E$1*10)</f>
        <v>0</v>
      </c>
      <c r="T7" s="298"/>
      <c r="U7" s="95"/>
      <c r="V7" s="1"/>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row>
    <row r="8" spans="1:85" ht="14.1" customHeight="1">
      <c r="A8" s="114"/>
      <c r="B8" s="844"/>
      <c r="C8" s="845"/>
      <c r="D8" s="388"/>
      <c r="E8" s="389"/>
      <c r="F8" s="389"/>
      <c r="G8" s="390"/>
      <c r="H8" s="389"/>
      <c r="I8" s="391"/>
      <c r="J8" s="392"/>
      <c r="K8" s="360">
        <f>SUM(K5:K7)</f>
        <v>1819000</v>
      </c>
      <c r="L8" s="361">
        <f>SUM(L5:L7)</f>
        <v>1819000</v>
      </c>
      <c r="M8" s="390"/>
      <c r="N8" s="364">
        <f t="shared" ref="N8:S8" si="1">SUM(N5:N7)</f>
        <v>545700</v>
      </c>
      <c r="O8" s="364">
        <f t="shared" si="1"/>
        <v>0</v>
      </c>
      <c r="P8" s="364">
        <f t="shared" si="1"/>
        <v>545700</v>
      </c>
      <c r="Q8" s="364">
        <f t="shared" si="1"/>
        <v>22738</v>
      </c>
      <c r="R8" s="364">
        <f t="shared" si="1"/>
        <v>22738</v>
      </c>
      <c r="S8" s="364">
        <f t="shared" si="1"/>
        <v>5457</v>
      </c>
      <c r="T8" s="115"/>
      <c r="U8" s="95"/>
      <c r="V8" s="1"/>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row>
    <row r="9" spans="1:85" ht="13.5" customHeight="1">
      <c r="A9" s="111"/>
      <c r="B9" s="831" t="s">
        <v>294</v>
      </c>
      <c r="C9" s="832"/>
      <c r="D9" s="107" t="s">
        <v>634</v>
      </c>
      <c r="E9" s="108">
        <v>1</v>
      </c>
      <c r="F9" s="108" t="s">
        <v>471</v>
      </c>
      <c r="G9" s="109"/>
      <c r="H9" s="108">
        <v>10</v>
      </c>
      <c r="I9" s="119">
        <v>0.7</v>
      </c>
      <c r="J9" s="190">
        <v>4911000</v>
      </c>
      <c r="K9" s="357">
        <f>J9*E9</f>
        <v>4911000</v>
      </c>
      <c r="L9" s="359">
        <f t="shared" ref="L9:L17" si="2">IF(I9="",K9,I9*K9)</f>
        <v>3437700</v>
      </c>
      <c r="M9" s="109">
        <v>1</v>
      </c>
      <c r="N9" s="367">
        <f t="shared" ref="N9:N17" si="3">IF(I9="",INT(K9*M9),INT(K9*I9*M9))</f>
        <v>3437700</v>
      </c>
      <c r="O9" s="367">
        <f t="shared" ref="O9:O17" si="4">N9*(G9)</f>
        <v>0</v>
      </c>
      <c r="P9" s="368">
        <f t="shared" ref="P9:P17" si="5">N9-O9</f>
        <v>3437700</v>
      </c>
      <c r="Q9" s="367">
        <f t="shared" ref="Q9:Q17" si="6">IF(H9="",0,ROUND(P9/H9,0))</f>
        <v>343770</v>
      </c>
      <c r="R9" s="367">
        <f t="shared" si="0"/>
        <v>343770</v>
      </c>
      <c r="S9" s="367">
        <f t="shared" ref="S9:S14" si="7">IF(R9=0,0,$D$36*K9*M9/$E$1*10)</f>
        <v>49110</v>
      </c>
      <c r="T9" s="298" t="s">
        <v>631</v>
      </c>
      <c r="U9" s="95"/>
      <c r="V9" s="1"/>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row>
    <row r="10" spans="1:85" ht="14.1" customHeight="1">
      <c r="A10" s="111"/>
      <c r="B10" s="833" t="s">
        <v>297</v>
      </c>
      <c r="C10" s="834"/>
      <c r="D10" s="717" t="s">
        <v>568</v>
      </c>
      <c r="E10" s="108">
        <v>1</v>
      </c>
      <c r="F10" s="108" t="s">
        <v>471</v>
      </c>
      <c r="G10" s="109"/>
      <c r="H10" s="108">
        <v>10</v>
      </c>
      <c r="I10" s="119">
        <v>0.7</v>
      </c>
      <c r="J10" s="190">
        <v>718000</v>
      </c>
      <c r="K10" s="357">
        <f t="shared" ref="K10:K17" si="8">J10*E10</f>
        <v>718000</v>
      </c>
      <c r="L10" s="359">
        <f t="shared" si="2"/>
        <v>502599.99999999994</v>
      </c>
      <c r="M10" s="109">
        <v>1</v>
      </c>
      <c r="N10" s="367">
        <f t="shared" si="3"/>
        <v>502600</v>
      </c>
      <c r="O10" s="367">
        <f t="shared" si="4"/>
        <v>0</v>
      </c>
      <c r="P10" s="368">
        <f t="shared" si="5"/>
        <v>502600</v>
      </c>
      <c r="Q10" s="367">
        <f t="shared" si="6"/>
        <v>50260</v>
      </c>
      <c r="R10" s="367">
        <f t="shared" si="0"/>
        <v>50260</v>
      </c>
      <c r="S10" s="367">
        <f t="shared" si="7"/>
        <v>7180</v>
      </c>
      <c r="T10" s="297" t="s">
        <v>632</v>
      </c>
      <c r="U10" s="95"/>
      <c r="V10" s="1"/>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row>
    <row r="11" spans="1:85" ht="14.1" customHeight="1">
      <c r="A11" s="647"/>
      <c r="B11" s="704" t="s">
        <v>569</v>
      </c>
      <c r="C11" s="705"/>
      <c r="D11" s="718" t="s">
        <v>567</v>
      </c>
      <c r="E11" s="108">
        <v>1</v>
      </c>
      <c r="F11" s="108" t="s">
        <v>597</v>
      </c>
      <c r="G11" s="109"/>
      <c r="H11" s="108">
        <v>7</v>
      </c>
      <c r="I11" s="119">
        <v>0.7</v>
      </c>
      <c r="J11" s="190">
        <v>956000</v>
      </c>
      <c r="K11" s="357">
        <f t="shared" ref="K11" si="9">J11*E11</f>
        <v>956000</v>
      </c>
      <c r="L11" s="359">
        <f t="shared" ref="L11" si="10">IF(I11="",K11,I11*K11)</f>
        <v>669200</v>
      </c>
      <c r="M11" s="109">
        <v>1</v>
      </c>
      <c r="N11" s="367">
        <f t="shared" ref="N11" si="11">IF(I11="",INT(K11*M11),INT(K11*I11*M11))</f>
        <v>669200</v>
      </c>
      <c r="O11" s="367">
        <f t="shared" ref="O11" si="12">N11*(G11)</f>
        <v>0</v>
      </c>
      <c r="P11" s="368">
        <f t="shared" ref="P11" si="13">N11-O11</f>
        <v>669200</v>
      </c>
      <c r="Q11" s="367">
        <f t="shared" ref="Q11" si="14">IF(H11="",0,ROUND(P11/H11,0))</f>
        <v>95600</v>
      </c>
      <c r="R11" s="367">
        <f t="shared" ref="R11" si="15">IF(Q11=0,0,INT(Q11/$E$1*10))</f>
        <v>95600</v>
      </c>
      <c r="S11" s="367">
        <f t="shared" si="7"/>
        <v>9560</v>
      </c>
      <c r="T11" s="297" t="s">
        <v>577</v>
      </c>
      <c r="U11" s="95"/>
      <c r="V11" s="1"/>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row>
    <row r="12" spans="1:85" ht="14.1" customHeight="1">
      <c r="A12" s="116" t="s">
        <v>34</v>
      </c>
      <c r="B12" s="833" t="s">
        <v>527</v>
      </c>
      <c r="C12" s="834"/>
      <c r="D12" s="718" t="s">
        <v>576</v>
      </c>
      <c r="E12" s="108">
        <v>1</v>
      </c>
      <c r="F12" s="108" t="s">
        <v>472</v>
      </c>
      <c r="G12" s="109"/>
      <c r="H12" s="108">
        <v>10</v>
      </c>
      <c r="I12" s="119">
        <v>0.7</v>
      </c>
      <c r="J12" s="190">
        <v>1850000</v>
      </c>
      <c r="K12" s="357">
        <f t="shared" si="8"/>
        <v>1850000</v>
      </c>
      <c r="L12" s="359">
        <f t="shared" si="2"/>
        <v>1295000</v>
      </c>
      <c r="M12" s="109">
        <v>1</v>
      </c>
      <c r="N12" s="367">
        <f t="shared" si="3"/>
        <v>1295000</v>
      </c>
      <c r="O12" s="367">
        <f t="shared" si="4"/>
        <v>0</v>
      </c>
      <c r="P12" s="368">
        <f t="shared" si="5"/>
        <v>1295000</v>
      </c>
      <c r="Q12" s="367">
        <f t="shared" si="6"/>
        <v>129500</v>
      </c>
      <c r="R12" s="367">
        <f t="shared" si="0"/>
        <v>129500</v>
      </c>
      <c r="S12" s="367">
        <f t="shared" si="7"/>
        <v>18500</v>
      </c>
      <c r="T12" s="648" t="s">
        <v>577</v>
      </c>
      <c r="U12" s="95"/>
      <c r="V12" s="1"/>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row>
    <row r="13" spans="1:85" ht="14.1" customHeight="1">
      <c r="A13" s="116"/>
      <c r="B13" s="833" t="s">
        <v>578</v>
      </c>
      <c r="C13" s="834"/>
      <c r="D13" s="434" t="s">
        <v>575</v>
      </c>
      <c r="E13" s="108">
        <v>1</v>
      </c>
      <c r="F13" s="108" t="s">
        <v>472</v>
      </c>
      <c r="G13" s="109"/>
      <c r="H13" s="108">
        <v>7</v>
      </c>
      <c r="I13" s="119">
        <v>0.7</v>
      </c>
      <c r="J13" s="190">
        <v>456000</v>
      </c>
      <c r="K13" s="357">
        <f t="shared" si="8"/>
        <v>456000</v>
      </c>
      <c r="L13" s="359">
        <f t="shared" si="2"/>
        <v>319200</v>
      </c>
      <c r="M13" s="109">
        <v>1</v>
      </c>
      <c r="N13" s="367">
        <f t="shared" si="3"/>
        <v>319200</v>
      </c>
      <c r="O13" s="367">
        <f t="shared" si="4"/>
        <v>0</v>
      </c>
      <c r="P13" s="368">
        <f t="shared" si="5"/>
        <v>319200</v>
      </c>
      <c r="Q13" s="367">
        <f t="shared" si="6"/>
        <v>45600</v>
      </c>
      <c r="R13" s="367">
        <f t="shared" si="0"/>
        <v>45600</v>
      </c>
      <c r="S13" s="367">
        <f t="shared" si="7"/>
        <v>4560</v>
      </c>
      <c r="T13" s="297" t="s">
        <v>577</v>
      </c>
      <c r="U13" s="95"/>
      <c r="V13" s="1"/>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row>
    <row r="14" spans="1:85" ht="14.1" customHeight="1">
      <c r="A14" s="116" t="s">
        <v>35</v>
      </c>
      <c r="B14" s="833"/>
      <c r="C14" s="834"/>
      <c r="D14" s="107"/>
      <c r="E14" s="108"/>
      <c r="F14" s="108"/>
      <c r="G14" s="109"/>
      <c r="H14" s="108"/>
      <c r="I14" s="119"/>
      <c r="J14" s="435"/>
      <c r="K14" s="357">
        <f t="shared" si="8"/>
        <v>0</v>
      </c>
      <c r="L14" s="359">
        <f t="shared" si="2"/>
        <v>0</v>
      </c>
      <c r="M14" s="109"/>
      <c r="N14" s="367">
        <f t="shared" si="3"/>
        <v>0</v>
      </c>
      <c r="O14" s="367">
        <f t="shared" si="4"/>
        <v>0</v>
      </c>
      <c r="P14" s="368">
        <f t="shared" si="5"/>
        <v>0</v>
      </c>
      <c r="Q14" s="367">
        <f t="shared" si="6"/>
        <v>0</v>
      </c>
      <c r="R14" s="367">
        <f t="shared" si="0"/>
        <v>0</v>
      </c>
      <c r="S14" s="367">
        <f t="shared" si="7"/>
        <v>0</v>
      </c>
      <c r="T14" s="297"/>
      <c r="U14" s="95"/>
      <c r="V14" s="1"/>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row>
    <row r="15" spans="1:85" ht="14.1" customHeight="1">
      <c r="A15" s="116"/>
      <c r="B15" s="833"/>
      <c r="C15" s="834"/>
      <c r="D15" s="107"/>
      <c r="E15" s="108"/>
      <c r="F15" s="108"/>
      <c r="G15" s="118"/>
      <c r="H15" s="108"/>
      <c r="I15" s="119"/>
      <c r="J15" s="113"/>
      <c r="K15" s="362">
        <f t="shared" si="8"/>
        <v>0</v>
      </c>
      <c r="L15" s="363">
        <f t="shared" si="2"/>
        <v>0</v>
      </c>
      <c r="M15" s="109"/>
      <c r="N15" s="367">
        <f t="shared" si="3"/>
        <v>0</v>
      </c>
      <c r="O15" s="367">
        <f t="shared" si="4"/>
        <v>0</v>
      </c>
      <c r="P15" s="368">
        <f t="shared" si="5"/>
        <v>0</v>
      </c>
      <c r="Q15" s="367">
        <f t="shared" si="6"/>
        <v>0</v>
      </c>
      <c r="R15" s="367">
        <f t="shared" si="0"/>
        <v>0</v>
      </c>
      <c r="S15" s="367">
        <f>IF(R15=0,0,$D$37*K15*M15/$E$1*10)</f>
        <v>0</v>
      </c>
      <c r="T15" s="298"/>
      <c r="U15" s="95"/>
      <c r="V15" s="1"/>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row>
    <row r="16" spans="1:85" ht="14.1" customHeight="1">
      <c r="A16" s="116"/>
      <c r="B16" s="849"/>
      <c r="C16" s="850"/>
      <c r="D16" s="434"/>
      <c r="E16" s="108"/>
      <c r="F16" s="108"/>
      <c r="G16" s="118"/>
      <c r="H16" s="108"/>
      <c r="I16" s="119"/>
      <c r="J16" s="113"/>
      <c r="K16" s="362">
        <f t="shared" si="8"/>
        <v>0</v>
      </c>
      <c r="L16" s="363">
        <f t="shared" si="2"/>
        <v>0</v>
      </c>
      <c r="M16" s="109"/>
      <c r="N16" s="367">
        <f t="shared" si="3"/>
        <v>0</v>
      </c>
      <c r="O16" s="367">
        <f t="shared" si="4"/>
        <v>0</v>
      </c>
      <c r="P16" s="368">
        <f t="shared" si="5"/>
        <v>0</v>
      </c>
      <c r="Q16" s="367">
        <f t="shared" si="6"/>
        <v>0</v>
      </c>
      <c r="R16" s="367">
        <f t="shared" si="0"/>
        <v>0</v>
      </c>
      <c r="S16" s="367">
        <f>IF(R16=0,0,$D$37*K16*M16/$E$1*10)</f>
        <v>0</v>
      </c>
      <c r="T16" s="298"/>
      <c r="U16" s="95"/>
      <c r="V16" s="1"/>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row>
    <row r="17" spans="1:84" ht="14.1" customHeight="1">
      <c r="A17" s="116"/>
      <c r="B17" s="833"/>
      <c r="C17" s="834"/>
      <c r="D17" s="107"/>
      <c r="E17" s="108"/>
      <c r="F17" s="108"/>
      <c r="G17" s="109"/>
      <c r="H17" s="108"/>
      <c r="I17" s="119"/>
      <c r="J17" s="189"/>
      <c r="K17" s="357">
        <f t="shared" si="8"/>
        <v>0</v>
      </c>
      <c r="L17" s="359">
        <f t="shared" si="2"/>
        <v>0</v>
      </c>
      <c r="M17" s="109"/>
      <c r="N17" s="367">
        <f t="shared" si="3"/>
        <v>0</v>
      </c>
      <c r="O17" s="367">
        <f t="shared" si="4"/>
        <v>0</v>
      </c>
      <c r="P17" s="368">
        <f t="shared" si="5"/>
        <v>0</v>
      </c>
      <c r="Q17" s="367">
        <f t="shared" si="6"/>
        <v>0</v>
      </c>
      <c r="R17" s="367">
        <f t="shared" si="0"/>
        <v>0</v>
      </c>
      <c r="S17" s="367">
        <f>IF(R17=0,0,$D$36*K17*M17/$E$1*10)</f>
        <v>0</v>
      </c>
      <c r="T17" s="298"/>
      <c r="U17" s="95"/>
      <c r="V17" s="1"/>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row>
    <row r="18" spans="1:84" ht="14.1" customHeight="1">
      <c r="A18" s="116"/>
      <c r="B18" s="833"/>
      <c r="C18" s="834"/>
      <c r="D18" s="107"/>
      <c r="E18" s="108"/>
      <c r="F18" s="108"/>
      <c r="G18" s="109"/>
      <c r="H18" s="108"/>
      <c r="I18" s="119"/>
      <c r="J18" s="189"/>
      <c r="K18" s="357">
        <f>J18*E18</f>
        <v>0</v>
      </c>
      <c r="L18" s="359">
        <f>IF(I18="",K18,I18*K18)</f>
        <v>0</v>
      </c>
      <c r="M18" s="109"/>
      <c r="N18" s="367">
        <f>IF(I18="",INT(K18*M18),INT(K18*I18*M18))</f>
        <v>0</v>
      </c>
      <c r="O18" s="367">
        <f>N18*(G18)</f>
        <v>0</v>
      </c>
      <c r="P18" s="368">
        <f>N18-O18</f>
        <v>0</v>
      </c>
      <c r="Q18" s="367">
        <f>IF(H18="",0,ROUND(P18/H18,0))</f>
        <v>0</v>
      </c>
      <c r="R18" s="367">
        <f t="shared" si="0"/>
        <v>0</v>
      </c>
      <c r="S18" s="367">
        <f>IF(R18=0,0,$D$36*K18*M18/$E$1*10)</f>
        <v>0</v>
      </c>
      <c r="T18" s="298"/>
      <c r="U18" s="95"/>
      <c r="V18" s="1"/>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row>
    <row r="19" spans="1:84" ht="14.1" customHeight="1">
      <c r="A19" s="116"/>
      <c r="B19" s="833"/>
      <c r="C19" s="834"/>
      <c r="D19" s="107"/>
      <c r="E19" s="108"/>
      <c r="F19" s="108"/>
      <c r="G19" s="109"/>
      <c r="H19" s="108"/>
      <c r="I19" s="119"/>
      <c r="J19" s="189"/>
      <c r="K19" s="357">
        <f>J19*E19</f>
        <v>0</v>
      </c>
      <c r="L19" s="359">
        <f>IF(I19="",K19,I19*K19)</f>
        <v>0</v>
      </c>
      <c r="M19" s="109"/>
      <c r="N19" s="367">
        <f>IF(I19="",INT(K19*M19),INT(K19*I19*M19))</f>
        <v>0</v>
      </c>
      <c r="O19" s="367">
        <f>N19*(G19)</f>
        <v>0</v>
      </c>
      <c r="P19" s="368">
        <f>N19-O19</f>
        <v>0</v>
      </c>
      <c r="Q19" s="367">
        <f>IF(H19="",0,ROUND(P19/H19,0))</f>
        <v>0</v>
      </c>
      <c r="R19" s="367">
        <f t="shared" si="0"/>
        <v>0</v>
      </c>
      <c r="S19" s="367">
        <f>IF(R19=0,0,$D$36*K19*M19/$E$1*10)</f>
        <v>0</v>
      </c>
      <c r="T19" s="298"/>
      <c r="U19" s="95"/>
      <c r="V19" s="1"/>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row>
    <row r="20" spans="1:84" ht="14.1" customHeight="1">
      <c r="A20" s="117"/>
      <c r="B20" s="847"/>
      <c r="C20" s="848"/>
      <c r="D20" s="388"/>
      <c r="E20" s="389"/>
      <c r="F20" s="389"/>
      <c r="G20" s="388"/>
      <c r="H20" s="393"/>
      <c r="I20" s="394"/>
      <c r="J20" s="395"/>
      <c r="K20" s="360">
        <f>SUM(K9:K19)</f>
        <v>8891000</v>
      </c>
      <c r="L20" s="364">
        <f>SUM(L9:L19)</f>
        <v>6223700</v>
      </c>
      <c r="M20" s="388"/>
      <c r="N20" s="364">
        <f t="shared" ref="N20:S20" si="16">SUM(N9:N19)</f>
        <v>6223700</v>
      </c>
      <c r="O20" s="364">
        <f t="shared" si="16"/>
        <v>0</v>
      </c>
      <c r="P20" s="364">
        <f t="shared" si="16"/>
        <v>6223700</v>
      </c>
      <c r="Q20" s="364">
        <f t="shared" si="16"/>
        <v>664730</v>
      </c>
      <c r="R20" s="364">
        <f t="shared" si="16"/>
        <v>664730</v>
      </c>
      <c r="S20" s="364">
        <f t="shared" si="16"/>
        <v>88910</v>
      </c>
      <c r="T20" s="115"/>
      <c r="U20" s="95"/>
      <c r="V20" s="1"/>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row>
    <row r="21" spans="1:84" ht="14.1" customHeight="1">
      <c r="A21" s="841" t="s">
        <v>313</v>
      </c>
      <c r="B21" s="831" t="s">
        <v>295</v>
      </c>
      <c r="C21" s="832"/>
      <c r="D21" s="107" t="s">
        <v>630</v>
      </c>
      <c r="E21" s="108">
        <v>1</v>
      </c>
      <c r="F21" s="108" t="s">
        <v>162</v>
      </c>
      <c r="G21" s="118"/>
      <c r="H21" s="108">
        <v>7</v>
      </c>
      <c r="I21" s="119">
        <v>1</v>
      </c>
      <c r="J21" s="190">
        <v>340000</v>
      </c>
      <c r="K21" s="357">
        <f>J21*E21</f>
        <v>340000</v>
      </c>
      <c r="L21" s="359">
        <f>IF(I21="",K21,I21*K21)</f>
        <v>340000</v>
      </c>
      <c r="M21" s="119">
        <v>1</v>
      </c>
      <c r="N21" s="367">
        <f t="shared" ref="N21:N22" si="17">IF(I21="",INT(K21*M21),INT(K21*I21*M21))</f>
        <v>340000</v>
      </c>
      <c r="O21" s="367">
        <f t="shared" ref="O21:O22" si="18">N21*(G21)</f>
        <v>0</v>
      </c>
      <c r="P21" s="368">
        <f t="shared" ref="P21:P22" si="19">N21-O21</f>
        <v>340000</v>
      </c>
      <c r="Q21" s="367">
        <f t="shared" ref="Q21:Q22" si="20">IF(H21="",0,ROUND(P21/H21,0))</f>
        <v>48571</v>
      </c>
      <c r="R21" s="367">
        <f>IF(Q21=0,0,INT(Q21/$E$1*10))</f>
        <v>48571</v>
      </c>
      <c r="S21" s="369">
        <f t="shared" ref="S21:S27" si="21">IF(R21=0,0,$D$37*K21*M21/$E$1*10)</f>
        <v>13600</v>
      </c>
      <c r="T21" s="298"/>
      <c r="U21" s="95"/>
      <c r="V21" s="1"/>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row>
    <row r="22" spans="1:84" ht="14.1" customHeight="1">
      <c r="A22" s="842"/>
      <c r="B22" s="833" t="s">
        <v>296</v>
      </c>
      <c r="C22" s="834"/>
      <c r="D22" s="107" t="s">
        <v>636</v>
      </c>
      <c r="E22" s="108">
        <v>1</v>
      </c>
      <c r="F22" s="108" t="s">
        <v>162</v>
      </c>
      <c r="G22" s="118"/>
      <c r="H22" s="108">
        <v>4</v>
      </c>
      <c r="I22" s="119">
        <v>1</v>
      </c>
      <c r="J22" s="190">
        <v>1000000</v>
      </c>
      <c r="K22" s="357">
        <f>J22*E22</f>
        <v>1000000</v>
      </c>
      <c r="L22" s="359">
        <f>IF(I22="",K22,I22*K22)</f>
        <v>1000000</v>
      </c>
      <c r="M22" s="119">
        <v>0.3</v>
      </c>
      <c r="N22" s="367">
        <f t="shared" si="17"/>
        <v>300000</v>
      </c>
      <c r="O22" s="367">
        <f t="shared" si="18"/>
        <v>0</v>
      </c>
      <c r="P22" s="368">
        <f t="shared" si="19"/>
        <v>300000</v>
      </c>
      <c r="Q22" s="367">
        <f t="shared" si="20"/>
        <v>75000</v>
      </c>
      <c r="R22" s="367">
        <f t="shared" ref="R22" si="22">IF(Q22=0,0,INT(Q22/$E$1*10))</f>
        <v>75000</v>
      </c>
      <c r="S22" s="367">
        <f t="shared" si="21"/>
        <v>12000</v>
      </c>
      <c r="T22" s="298" t="s">
        <v>470</v>
      </c>
      <c r="U22" s="95"/>
      <c r="V22" s="1"/>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row>
    <row r="23" spans="1:84" ht="14.1" customHeight="1">
      <c r="A23" s="842"/>
      <c r="B23" s="833" t="s">
        <v>627</v>
      </c>
      <c r="C23" s="834"/>
      <c r="D23" s="107" t="s">
        <v>628</v>
      </c>
      <c r="E23" s="108">
        <v>8</v>
      </c>
      <c r="F23" s="108" t="s">
        <v>629</v>
      </c>
      <c r="G23" s="118"/>
      <c r="H23" s="108">
        <v>7</v>
      </c>
      <c r="I23" s="119">
        <v>1</v>
      </c>
      <c r="J23" s="113">
        <v>54000</v>
      </c>
      <c r="K23" s="362">
        <f t="shared" ref="K23:K30" si="23">J23*E23</f>
        <v>432000</v>
      </c>
      <c r="L23" s="363">
        <f t="shared" ref="L23:L27" si="24">IF(I23="",K23,I23*K23)</f>
        <v>432000</v>
      </c>
      <c r="M23" s="119">
        <v>1</v>
      </c>
      <c r="N23" s="367">
        <f t="shared" ref="N23:N27" si="25">IF(I23="",INT(K23*M23),INT(K23*I23*M23))</f>
        <v>432000</v>
      </c>
      <c r="O23" s="367">
        <f t="shared" ref="O23:O27" si="26">N23*(G23)</f>
        <v>0</v>
      </c>
      <c r="P23" s="368">
        <f t="shared" ref="P23:P27" si="27">N23-O23</f>
        <v>432000</v>
      </c>
      <c r="Q23" s="367">
        <f t="shared" ref="Q23:Q27" si="28">IF(H23="",0,ROUND(P23/H23,0))</f>
        <v>61714</v>
      </c>
      <c r="R23" s="367">
        <f t="shared" ref="R23:R27" si="29">IF(Q23=0,0,INT(Q23/$E$1*10))</f>
        <v>61714</v>
      </c>
      <c r="S23" s="367">
        <f t="shared" si="21"/>
        <v>17280</v>
      </c>
      <c r="T23" s="298"/>
      <c r="U23" s="95"/>
      <c r="V23" s="1"/>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row>
    <row r="24" spans="1:84" ht="14.1" customHeight="1">
      <c r="A24" s="842"/>
      <c r="B24" s="833"/>
      <c r="C24" s="834"/>
      <c r="D24" s="107"/>
      <c r="E24" s="108"/>
      <c r="F24" s="108"/>
      <c r="G24" s="118"/>
      <c r="H24" s="108"/>
      <c r="I24" s="119"/>
      <c r="J24" s="113"/>
      <c r="K24" s="362">
        <f t="shared" si="23"/>
        <v>0</v>
      </c>
      <c r="L24" s="363">
        <f t="shared" si="24"/>
        <v>0</v>
      </c>
      <c r="M24" s="119"/>
      <c r="N24" s="367">
        <f t="shared" si="25"/>
        <v>0</v>
      </c>
      <c r="O24" s="367">
        <f t="shared" si="26"/>
        <v>0</v>
      </c>
      <c r="P24" s="368">
        <f t="shared" si="27"/>
        <v>0</v>
      </c>
      <c r="Q24" s="367">
        <f t="shared" si="28"/>
        <v>0</v>
      </c>
      <c r="R24" s="367">
        <f t="shared" si="29"/>
        <v>0</v>
      </c>
      <c r="S24" s="367">
        <f t="shared" si="21"/>
        <v>0</v>
      </c>
      <c r="T24" s="298"/>
      <c r="U24" s="95"/>
      <c r="V24" s="1"/>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row>
    <row r="25" spans="1:84" ht="14.1" customHeight="1">
      <c r="A25" s="842"/>
      <c r="B25" s="833"/>
      <c r="C25" s="834"/>
      <c r="D25" s="107"/>
      <c r="E25" s="108"/>
      <c r="F25" s="108"/>
      <c r="G25" s="118"/>
      <c r="H25" s="108"/>
      <c r="I25" s="119"/>
      <c r="J25" s="113"/>
      <c r="K25" s="362">
        <f t="shared" si="23"/>
        <v>0</v>
      </c>
      <c r="L25" s="363">
        <f t="shared" si="24"/>
        <v>0</v>
      </c>
      <c r="M25" s="119"/>
      <c r="N25" s="367">
        <f t="shared" si="25"/>
        <v>0</v>
      </c>
      <c r="O25" s="367">
        <f t="shared" si="26"/>
        <v>0</v>
      </c>
      <c r="P25" s="368">
        <f t="shared" si="27"/>
        <v>0</v>
      </c>
      <c r="Q25" s="367">
        <f t="shared" si="28"/>
        <v>0</v>
      </c>
      <c r="R25" s="367">
        <f t="shared" si="29"/>
        <v>0</v>
      </c>
      <c r="S25" s="367">
        <f t="shared" si="21"/>
        <v>0</v>
      </c>
      <c r="T25" s="298"/>
      <c r="U25" s="95"/>
      <c r="V25" s="1"/>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row>
    <row r="26" spans="1:84" ht="14.1" customHeight="1">
      <c r="A26" s="842"/>
      <c r="B26" s="833"/>
      <c r="C26" s="834"/>
      <c r="D26" s="107"/>
      <c r="E26" s="108"/>
      <c r="F26" s="108"/>
      <c r="G26" s="118"/>
      <c r="H26" s="108"/>
      <c r="I26" s="119"/>
      <c r="J26" s="113"/>
      <c r="K26" s="362">
        <f t="shared" si="23"/>
        <v>0</v>
      </c>
      <c r="L26" s="363">
        <f t="shared" si="24"/>
        <v>0</v>
      </c>
      <c r="M26" s="119"/>
      <c r="N26" s="367">
        <f t="shared" si="25"/>
        <v>0</v>
      </c>
      <c r="O26" s="367">
        <f t="shared" si="26"/>
        <v>0</v>
      </c>
      <c r="P26" s="368">
        <f t="shared" si="27"/>
        <v>0</v>
      </c>
      <c r="Q26" s="367">
        <f t="shared" si="28"/>
        <v>0</v>
      </c>
      <c r="R26" s="367">
        <f t="shared" si="29"/>
        <v>0</v>
      </c>
      <c r="S26" s="367">
        <f t="shared" si="21"/>
        <v>0</v>
      </c>
      <c r="T26" s="298"/>
      <c r="U26" s="95"/>
      <c r="V26" s="1"/>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row>
    <row r="27" spans="1:84" ht="14.1" customHeight="1">
      <c r="A27" s="842"/>
      <c r="B27" s="833"/>
      <c r="C27" s="834"/>
      <c r="D27" s="107"/>
      <c r="E27" s="108"/>
      <c r="F27" s="108"/>
      <c r="G27" s="118"/>
      <c r="H27" s="108"/>
      <c r="I27" s="119"/>
      <c r="J27" s="113"/>
      <c r="K27" s="362">
        <f t="shared" si="23"/>
        <v>0</v>
      </c>
      <c r="L27" s="363">
        <f t="shared" si="24"/>
        <v>0</v>
      </c>
      <c r="M27" s="119"/>
      <c r="N27" s="367">
        <f t="shared" si="25"/>
        <v>0</v>
      </c>
      <c r="O27" s="367">
        <f t="shared" si="26"/>
        <v>0</v>
      </c>
      <c r="P27" s="368">
        <f t="shared" si="27"/>
        <v>0</v>
      </c>
      <c r="Q27" s="367">
        <f t="shared" si="28"/>
        <v>0</v>
      </c>
      <c r="R27" s="367">
        <f t="shared" si="29"/>
        <v>0</v>
      </c>
      <c r="S27" s="367">
        <f t="shared" si="21"/>
        <v>0</v>
      </c>
      <c r="T27" s="298"/>
      <c r="U27" s="95"/>
      <c r="V27" s="1"/>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row>
    <row r="28" spans="1:84" ht="14.1" customHeight="1">
      <c r="A28" s="843"/>
      <c r="B28" s="844" t="s">
        <v>36</v>
      </c>
      <c r="C28" s="845"/>
      <c r="D28" s="388"/>
      <c r="E28" s="389"/>
      <c r="F28" s="389"/>
      <c r="G28" s="396"/>
      <c r="H28" s="393"/>
      <c r="I28" s="394"/>
      <c r="J28" s="392"/>
      <c r="K28" s="365">
        <f>SUM(K21:K27)</f>
        <v>1772000</v>
      </c>
      <c r="L28" s="364">
        <f>SUM(L21:L27)</f>
        <v>1772000</v>
      </c>
      <c r="M28" s="388"/>
      <c r="N28" s="364">
        <f t="shared" ref="N28:S28" si="30">SUM(N21:N27)</f>
        <v>1072000</v>
      </c>
      <c r="O28" s="364">
        <f t="shared" si="30"/>
        <v>0</v>
      </c>
      <c r="P28" s="364">
        <f t="shared" si="30"/>
        <v>1072000</v>
      </c>
      <c r="Q28" s="364">
        <f t="shared" si="30"/>
        <v>185285</v>
      </c>
      <c r="R28" s="364">
        <f t="shared" si="30"/>
        <v>185285</v>
      </c>
      <c r="S28" s="364">
        <f t="shared" si="30"/>
        <v>42880</v>
      </c>
      <c r="T28" s="115"/>
      <c r="U28" s="95"/>
      <c r="V28" s="1"/>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row>
    <row r="29" spans="1:84" ht="14.1" customHeight="1">
      <c r="A29" s="838" t="s">
        <v>37</v>
      </c>
      <c r="B29" s="839"/>
      <c r="C29" s="839"/>
      <c r="D29" s="107"/>
      <c r="E29" s="108"/>
      <c r="F29" s="108"/>
      <c r="G29" s="118"/>
      <c r="H29" s="108"/>
      <c r="I29" s="119"/>
      <c r="J29" s="113"/>
      <c r="K29" s="357">
        <f t="shared" si="23"/>
        <v>0</v>
      </c>
      <c r="L29" s="359">
        <f>K29</f>
        <v>0</v>
      </c>
      <c r="M29" s="119"/>
      <c r="N29" s="512">
        <f t="shared" ref="N29:N30" si="31">IF(I29="",INT(K29*M29),INT(K29*I29*M29))</f>
        <v>0</v>
      </c>
      <c r="O29" s="367">
        <f>N29*(G29)</f>
        <v>0</v>
      </c>
      <c r="P29" s="368">
        <f>N29-O29</f>
        <v>0</v>
      </c>
      <c r="Q29" s="367">
        <f>IF(H29="",0,ROUND(P29/H29,0))</f>
        <v>0</v>
      </c>
      <c r="R29" s="367">
        <f>IF(Q29=0,0,INT(Q29/$E$1*10))</f>
        <v>0</v>
      </c>
      <c r="S29" s="367"/>
      <c r="T29" s="298"/>
      <c r="U29" s="95"/>
      <c r="V29" s="1"/>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row>
    <row r="30" spans="1:84" ht="14.1" customHeight="1">
      <c r="A30" s="838"/>
      <c r="B30" s="840"/>
      <c r="C30" s="840"/>
      <c r="D30" s="107"/>
      <c r="E30" s="108"/>
      <c r="F30" s="108"/>
      <c r="G30" s="118"/>
      <c r="H30" s="108"/>
      <c r="I30" s="119"/>
      <c r="J30" s="113"/>
      <c r="K30" s="357">
        <f t="shared" si="23"/>
        <v>0</v>
      </c>
      <c r="L30" s="359">
        <f>K30</f>
        <v>0</v>
      </c>
      <c r="M30" s="119"/>
      <c r="N30" s="512">
        <f t="shared" si="31"/>
        <v>0</v>
      </c>
      <c r="O30" s="367">
        <f>N30*(G30)</f>
        <v>0</v>
      </c>
      <c r="P30" s="368">
        <f>N30-O30</f>
        <v>0</v>
      </c>
      <c r="Q30" s="367">
        <f>IF(H30="",0,ROUND(P30/H30,0))</f>
        <v>0</v>
      </c>
      <c r="R30" s="367">
        <f>IF(Q30=0,0,INT(Q30/$E$1*10))</f>
        <v>0</v>
      </c>
      <c r="S30" s="367"/>
      <c r="T30" s="298"/>
      <c r="U30" s="95"/>
      <c r="V30" s="1"/>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row>
    <row r="31" spans="1:84" ht="14.1" customHeight="1">
      <c r="A31" s="838"/>
      <c r="B31" s="844" t="s">
        <v>38</v>
      </c>
      <c r="C31" s="845"/>
      <c r="D31" s="388"/>
      <c r="E31" s="389"/>
      <c r="F31" s="389"/>
      <c r="G31" s="388"/>
      <c r="H31" s="397" t="str">
        <f>IF(P31&gt;0,P31/Q31,"")</f>
        <v/>
      </c>
      <c r="I31" s="394"/>
      <c r="J31" s="392"/>
      <c r="K31" s="360"/>
      <c r="L31" s="364">
        <f>L30+L29</f>
        <v>0</v>
      </c>
      <c r="M31" s="388"/>
      <c r="N31" s="364">
        <f>N30+N29</f>
        <v>0</v>
      </c>
      <c r="O31" s="364">
        <f>O30+O29</f>
        <v>0</v>
      </c>
      <c r="P31" s="364">
        <f>P30+P29</f>
        <v>0</v>
      </c>
      <c r="Q31" s="364">
        <f>Q30+Q29</f>
        <v>0</v>
      </c>
      <c r="R31" s="364">
        <f>R30+R29</f>
        <v>0</v>
      </c>
      <c r="S31" s="364"/>
      <c r="T31" s="115"/>
      <c r="U31" s="95"/>
      <c r="V31" s="1"/>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row>
    <row r="32" spans="1:84" ht="14.1" customHeight="1">
      <c r="A32" s="120"/>
      <c r="B32" s="398"/>
      <c r="C32" s="388" t="s">
        <v>39</v>
      </c>
      <c r="D32" s="388"/>
      <c r="E32" s="388"/>
      <c r="F32" s="388"/>
      <c r="G32" s="388"/>
      <c r="H32" s="388"/>
      <c r="I32" s="388"/>
      <c r="J32" s="392"/>
      <c r="K32" s="360">
        <f>K31+K28+K20+K8</f>
        <v>12482000</v>
      </c>
      <c r="L32" s="366">
        <f>L31+L28+L20+L8</f>
        <v>9814700</v>
      </c>
      <c r="M32" s="399"/>
      <c r="N32" s="370">
        <f t="shared" ref="N32:S32" si="32">N31+N28+N20+N8</f>
        <v>7841400</v>
      </c>
      <c r="O32" s="370">
        <f t="shared" si="32"/>
        <v>0</v>
      </c>
      <c r="P32" s="370">
        <f t="shared" si="32"/>
        <v>7841400</v>
      </c>
      <c r="Q32" s="370">
        <f t="shared" si="32"/>
        <v>872753</v>
      </c>
      <c r="R32" s="370">
        <f t="shared" si="32"/>
        <v>872753</v>
      </c>
      <c r="S32" s="370">
        <f t="shared" si="32"/>
        <v>137247</v>
      </c>
      <c r="T32" s="121"/>
      <c r="U32" s="95"/>
      <c r="V32" s="1"/>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row>
    <row r="33" spans="1:84" ht="12" customHeight="1">
      <c r="C33" s="88"/>
      <c r="D33" s="88"/>
      <c r="E33" s="88"/>
      <c r="F33" s="88"/>
      <c r="J33" s="88"/>
      <c r="K33" s="88"/>
      <c r="L33" s="122">
        <f>L32-L31</f>
        <v>9814700</v>
      </c>
      <c r="M33" s="88"/>
      <c r="N33" s="123"/>
      <c r="O33" s="88"/>
      <c r="P33" s="122">
        <f>P28+P20+P8</f>
        <v>7841400</v>
      </c>
      <c r="Q33" s="122">
        <f>Q28+Q20+Q8</f>
        <v>872753</v>
      </c>
      <c r="R33" s="123"/>
      <c r="S33" s="123"/>
      <c r="T33" s="88"/>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row>
    <row r="34" spans="1:84" ht="6" customHeight="1">
      <c r="C34" s="88"/>
      <c r="D34" s="88"/>
      <c r="E34" s="88"/>
      <c r="F34" s="88"/>
      <c r="J34" s="88"/>
      <c r="K34" s="88"/>
      <c r="L34" s="88"/>
      <c r="M34" s="88"/>
      <c r="N34" s="88"/>
      <c r="O34" s="88"/>
      <c r="P34" s="88"/>
      <c r="Q34" s="88"/>
      <c r="R34" s="88"/>
      <c r="S34" s="88"/>
      <c r="T34" s="88"/>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row>
    <row r="35" spans="1:84" ht="13.5" customHeight="1">
      <c r="B35" s="374" t="s">
        <v>40</v>
      </c>
      <c r="C35" s="124"/>
      <c r="D35" s="125" t="s">
        <v>41</v>
      </c>
      <c r="E35" s="88"/>
      <c r="F35" s="126"/>
      <c r="G35" s="127"/>
      <c r="H35" s="43"/>
      <c r="I35" s="128" t="s">
        <v>42</v>
      </c>
      <c r="J35" s="129"/>
      <c r="K35" s="129"/>
      <c r="L35" s="130" t="s">
        <v>43</v>
      </c>
      <c r="M35" s="828" t="s">
        <v>44</v>
      </c>
      <c r="N35" s="828"/>
      <c r="O35" s="195" t="s">
        <v>45</v>
      </c>
      <c r="P35" s="88"/>
      <c r="Q35" s="131" t="s">
        <v>46</v>
      </c>
      <c r="R35" s="132"/>
      <c r="S35" s="88"/>
      <c r="T35" s="88"/>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row>
    <row r="36" spans="1:84" ht="13.5" customHeight="1">
      <c r="A36" s="43"/>
      <c r="B36" s="133" t="s">
        <v>47</v>
      </c>
      <c r="C36" s="134" t="s">
        <v>48</v>
      </c>
      <c r="D36" s="135">
        <v>0.01</v>
      </c>
      <c r="E36" s="43"/>
      <c r="F36" s="136"/>
      <c r="G36" s="127"/>
      <c r="H36" s="43"/>
      <c r="I36" s="137"/>
      <c r="J36" s="136" t="s">
        <v>49</v>
      </c>
      <c r="K36" s="138"/>
      <c r="L36" s="139">
        <f>(N32-O32)/2+O32</f>
        <v>3920700</v>
      </c>
      <c r="M36" s="196"/>
      <c r="N36" s="197">
        <f>((N28+N8-O28-O8)/2+O28+O8)</f>
        <v>808850</v>
      </c>
      <c r="O36" s="197">
        <f>(N20-O20)/2+O20</f>
        <v>3111850</v>
      </c>
      <c r="P36" s="43"/>
      <c r="Q36" s="140" t="s">
        <v>50</v>
      </c>
      <c r="R36" s="141">
        <f>IF(P8=0,0,P8/Q8)</f>
        <v>23.999472249098424</v>
      </c>
      <c r="S36" s="43"/>
      <c r="T36" s="43"/>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row>
    <row r="37" spans="1:84" ht="13.5" customHeight="1">
      <c r="A37" s="43"/>
      <c r="B37" s="142" t="s">
        <v>51</v>
      </c>
      <c r="C37" s="143" t="s">
        <v>52</v>
      </c>
      <c r="D37" s="144">
        <v>0.04</v>
      </c>
      <c r="E37" s="43"/>
      <c r="F37" s="136"/>
      <c r="G37" s="127"/>
      <c r="H37" s="43"/>
      <c r="I37" s="137"/>
      <c r="J37" s="836" t="s">
        <v>53</v>
      </c>
      <c r="K37" s="837"/>
      <c r="L37" s="145">
        <v>0.5</v>
      </c>
      <c r="M37" s="198"/>
      <c r="N37" s="199">
        <f>L37</f>
        <v>0.5</v>
      </c>
      <c r="O37" s="199">
        <f>N37</f>
        <v>0.5</v>
      </c>
      <c r="P37" s="43"/>
      <c r="Q37" s="146" t="s">
        <v>45</v>
      </c>
      <c r="R37" s="147">
        <f>IF(P20=0,0,P20/Q20)</f>
        <v>9.3627487852210667</v>
      </c>
      <c r="S37" s="43"/>
      <c r="T37" s="43"/>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row>
    <row r="38" spans="1:84" ht="13.5" customHeight="1">
      <c r="A38" s="43"/>
      <c r="B38" s="43"/>
      <c r="C38" s="43"/>
      <c r="D38" s="43"/>
      <c r="E38" s="43"/>
      <c r="F38" s="136"/>
      <c r="G38" s="127"/>
      <c r="H38" s="43"/>
      <c r="I38" s="137"/>
      <c r="J38" s="136" t="s">
        <v>54</v>
      </c>
      <c r="K38" s="136"/>
      <c r="L38" s="139">
        <f>L37*L36</f>
        <v>1960350</v>
      </c>
      <c r="M38" s="198"/>
      <c r="N38" s="200">
        <f>N37*N36</f>
        <v>404425</v>
      </c>
      <c r="O38" s="200">
        <f>O37*O36</f>
        <v>1555925</v>
      </c>
      <c r="P38" s="43"/>
      <c r="Q38" s="146" t="s">
        <v>55</v>
      </c>
      <c r="R38" s="147">
        <f>IF(P28=0,0,P28/Q28)</f>
        <v>5.7856815176619802</v>
      </c>
      <c r="S38" s="43"/>
      <c r="T38" s="43"/>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row>
    <row r="39" spans="1:84" ht="13.5" customHeight="1">
      <c r="A39" s="43"/>
      <c r="B39" s="43"/>
      <c r="C39" s="43"/>
      <c r="D39" s="43"/>
      <c r="E39" s="43"/>
      <c r="F39" s="136"/>
      <c r="G39" s="127"/>
      <c r="H39" s="43"/>
      <c r="I39" s="137"/>
      <c r="J39" s="136" t="s">
        <v>56</v>
      </c>
      <c r="K39" s="136"/>
      <c r="L39" s="139">
        <f>IF($E$1=0,0,L38/$E$1*10)</f>
        <v>1960350</v>
      </c>
      <c r="M39" s="198"/>
      <c r="N39" s="201">
        <f>IF($E$1=0,0,N38/$E$1*10)</f>
        <v>404425</v>
      </c>
      <c r="O39" s="201">
        <f>IF($E$1=0,0,O38/$E$1*10)</f>
        <v>1555925</v>
      </c>
      <c r="P39" s="43"/>
      <c r="Q39" s="148" t="s">
        <v>43</v>
      </c>
      <c r="R39" s="149">
        <f>IF(P31=0,0,(P32-P31)/(Q32-Q31))</f>
        <v>0</v>
      </c>
      <c r="S39" s="43"/>
      <c r="T39" s="43"/>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row>
    <row r="40" spans="1:84" ht="13.5" customHeight="1">
      <c r="A40" s="43"/>
      <c r="B40" s="43"/>
      <c r="C40" s="43"/>
      <c r="D40" s="43"/>
      <c r="E40" s="43"/>
      <c r="F40" s="136"/>
      <c r="G40" s="127"/>
      <c r="H40" s="43"/>
      <c r="I40" s="137"/>
      <c r="J40" s="136" t="s">
        <v>57</v>
      </c>
      <c r="K40" s="136"/>
      <c r="L40" s="150">
        <v>0.02</v>
      </c>
      <c r="M40" s="198"/>
      <c r="N40" s="199">
        <f>L40</f>
        <v>0.02</v>
      </c>
      <c r="O40" s="199">
        <f>N40</f>
        <v>0.02</v>
      </c>
      <c r="P40" s="43"/>
      <c r="Q40" s="43"/>
      <c r="R40" s="43"/>
      <c r="S40" s="43"/>
      <c r="T40" s="43"/>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row>
    <row r="41" spans="1:84" ht="13.5" customHeight="1">
      <c r="A41" s="43"/>
      <c r="B41" s="43"/>
      <c r="C41" s="43"/>
      <c r="D41" s="43"/>
      <c r="E41" s="43"/>
      <c r="F41" s="136"/>
      <c r="G41" s="127"/>
      <c r="H41" s="43"/>
      <c r="I41" s="151"/>
      <c r="J41" s="152" t="s">
        <v>58</v>
      </c>
      <c r="K41" s="152"/>
      <c r="L41" s="153">
        <f>INT(L40*L39)</f>
        <v>39207</v>
      </c>
      <c r="M41" s="202"/>
      <c r="N41" s="203">
        <f>INT(N40*N39)</f>
        <v>8088</v>
      </c>
      <c r="O41" s="203">
        <f>INT(O40*O39)</f>
        <v>31118</v>
      </c>
      <c r="P41" s="43"/>
      <c r="Q41" s="43"/>
      <c r="R41" s="43"/>
      <c r="S41" s="43"/>
      <c r="T41" s="43"/>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row>
    <row r="42" spans="1:84" ht="13.5" customHeight="1">
      <c r="A42" s="95"/>
      <c r="B42" s="95"/>
      <c r="C42" s="95"/>
      <c r="D42" s="95"/>
      <c r="E42" s="95"/>
      <c r="F42" s="95"/>
      <c r="J42" s="95"/>
      <c r="K42" s="95"/>
      <c r="L42" s="95"/>
      <c r="M42" s="22"/>
      <c r="N42" s="22"/>
      <c r="O42" s="22"/>
      <c r="P42" s="22"/>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row>
    <row r="43" spans="1:84" ht="13.5" customHeight="1">
      <c r="A43" s="95"/>
      <c r="B43" s="95"/>
      <c r="C43" s="95"/>
      <c r="D43" s="95"/>
      <c r="E43" s="95"/>
      <c r="F43" s="95"/>
      <c r="J43" s="95"/>
      <c r="K43" s="95"/>
      <c r="L43" s="95"/>
      <c r="M43" s="22"/>
      <c r="N43" s="22"/>
      <c r="O43" s="22"/>
      <c r="P43" s="22"/>
      <c r="Q43" s="95"/>
      <c r="R43" s="95"/>
      <c r="S43" s="95"/>
      <c r="T43" s="95"/>
      <c r="U43" s="95"/>
      <c r="V43" s="95"/>
      <c r="W43" s="95"/>
      <c r="X43" s="95"/>
      <c r="Y43" s="95"/>
      <c r="Z43" s="95"/>
      <c r="AA43" s="95"/>
      <c r="AB43" s="95"/>
      <c r="AC43" s="95"/>
    </row>
    <row r="44" spans="1:84" ht="13.5" customHeight="1">
      <c r="A44" s="95"/>
      <c r="B44" s="95"/>
      <c r="C44" s="95"/>
      <c r="D44" s="95"/>
      <c r="E44" s="95"/>
      <c r="F44" s="95"/>
      <c r="J44" s="95"/>
      <c r="K44" s="95"/>
      <c r="L44" s="95"/>
      <c r="M44" s="22"/>
      <c r="N44" s="22"/>
      <c r="O44" s="22"/>
      <c r="P44" s="22"/>
      <c r="Q44" s="95"/>
      <c r="R44" s="95"/>
      <c r="S44" s="95"/>
      <c r="T44" s="95"/>
      <c r="U44" s="95"/>
      <c r="V44" s="95"/>
      <c r="W44" s="95"/>
      <c r="X44" s="95"/>
      <c r="Y44" s="95"/>
      <c r="Z44" s="95"/>
      <c r="AA44" s="95"/>
      <c r="AB44" s="95"/>
      <c r="AC44" s="95"/>
    </row>
    <row r="45" spans="1:84" ht="13.5" customHeight="1">
      <c r="A45" s="95"/>
      <c r="B45" s="95"/>
      <c r="C45" s="95"/>
      <c r="D45" s="95"/>
      <c r="E45" s="95"/>
      <c r="F45" s="95"/>
      <c r="J45" s="95"/>
      <c r="K45" s="95"/>
      <c r="L45" s="95"/>
      <c r="M45" s="22"/>
      <c r="N45" s="22"/>
      <c r="O45" s="22"/>
      <c r="P45" s="22"/>
      <c r="Q45" s="95"/>
      <c r="R45" s="95"/>
      <c r="S45" s="95"/>
      <c r="T45" s="95"/>
      <c r="U45" s="95"/>
      <c r="V45" s="95"/>
      <c r="W45" s="95"/>
      <c r="X45" s="95"/>
      <c r="Y45" s="95"/>
      <c r="Z45" s="95"/>
      <c r="AA45" s="95"/>
      <c r="AB45" s="95"/>
      <c r="AC45" s="95"/>
    </row>
    <row r="46" spans="1:84" ht="13.5" customHeight="1">
      <c r="A46" s="95"/>
      <c r="B46" s="95"/>
      <c r="C46" s="95"/>
      <c r="D46" s="95"/>
      <c r="E46" s="95"/>
      <c r="F46" s="95"/>
      <c r="J46" s="95"/>
      <c r="K46" s="95"/>
      <c r="L46" s="95"/>
      <c r="M46" s="22"/>
      <c r="N46" s="22"/>
      <c r="O46" s="22"/>
      <c r="P46" s="22"/>
      <c r="Q46" s="95"/>
      <c r="R46" s="95"/>
      <c r="S46" s="95"/>
      <c r="T46" s="95"/>
      <c r="U46" s="95"/>
      <c r="V46" s="95"/>
      <c r="W46" s="95"/>
      <c r="X46" s="95"/>
      <c r="Y46" s="95"/>
      <c r="Z46" s="95"/>
      <c r="AA46" s="95"/>
      <c r="AB46" s="95"/>
      <c r="AC46" s="95"/>
    </row>
    <row r="47" spans="1:84" ht="13.5" customHeight="1">
      <c r="A47" s="95"/>
      <c r="B47" s="95"/>
      <c r="C47" s="95"/>
      <c r="D47" s="95"/>
      <c r="E47" s="95"/>
      <c r="F47" s="95"/>
      <c r="J47" s="95"/>
      <c r="K47" s="95"/>
      <c r="L47" s="95"/>
      <c r="M47" s="22"/>
      <c r="N47" s="22"/>
      <c r="O47" s="22"/>
      <c r="P47" s="22"/>
      <c r="Q47" s="95"/>
      <c r="R47" s="95"/>
      <c r="S47" s="95"/>
      <c r="T47" s="95"/>
      <c r="U47" s="95"/>
      <c r="V47" s="95"/>
      <c r="W47" s="95"/>
      <c r="X47" s="95"/>
      <c r="Y47" s="95"/>
      <c r="Z47" s="95"/>
      <c r="AA47" s="95"/>
      <c r="AB47" s="95"/>
      <c r="AC47" s="95"/>
    </row>
    <row r="48" spans="1:84" ht="13.5" customHeight="1">
      <c r="A48" s="95"/>
      <c r="B48" s="95"/>
      <c r="C48" s="95"/>
      <c r="D48" s="95"/>
      <c r="E48" s="95"/>
      <c r="F48" s="95"/>
      <c r="J48" s="95"/>
      <c r="K48" s="95"/>
      <c r="L48" s="95"/>
      <c r="M48" s="22"/>
      <c r="N48" s="22"/>
      <c r="O48" s="22"/>
      <c r="P48" s="22"/>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row>
    <row r="49" spans="1:41" ht="13.5" customHeight="1">
      <c r="A49" s="95"/>
      <c r="B49" s="95"/>
      <c r="C49" s="95"/>
      <c r="D49" s="95"/>
      <c r="E49" s="95"/>
      <c r="F49" s="95"/>
      <c r="J49" s="95"/>
      <c r="K49" s="95"/>
      <c r="L49" s="95"/>
      <c r="M49" s="22"/>
      <c r="N49" s="22"/>
      <c r="O49" s="22"/>
      <c r="P49" s="22"/>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row>
    <row r="50" spans="1:41" ht="13.5" customHeight="1">
      <c r="A50" s="95"/>
      <c r="B50" s="95"/>
      <c r="C50" s="95"/>
      <c r="D50" s="95"/>
      <c r="E50" s="95"/>
      <c r="F50" s="95"/>
      <c r="J50" s="95"/>
      <c r="K50" s="95"/>
      <c r="L50" s="95"/>
      <c r="M50" s="22"/>
      <c r="N50" s="22"/>
      <c r="O50" s="22"/>
      <c r="P50" s="22"/>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row>
    <row r="51" spans="1:41" ht="13.5" customHeight="1">
      <c r="A51" s="95"/>
      <c r="B51" s="95"/>
      <c r="C51" s="95"/>
      <c r="D51" s="95"/>
      <c r="E51" s="95"/>
      <c r="F51" s="95"/>
      <c r="J51" s="95"/>
      <c r="K51" s="95"/>
      <c r="L51" s="95"/>
      <c r="M51" s="22"/>
      <c r="N51" s="22"/>
      <c r="O51" s="22"/>
      <c r="P51" s="22"/>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row>
    <row r="52" spans="1:41" ht="13.5" customHeight="1">
      <c r="A52" s="95"/>
      <c r="B52" s="95"/>
      <c r="C52" s="95"/>
      <c r="D52" s="95"/>
      <c r="E52" s="95"/>
      <c r="F52" s="95"/>
      <c r="J52" s="95"/>
      <c r="K52" s="95"/>
      <c r="L52" s="95"/>
      <c r="M52" s="22"/>
      <c r="N52" s="22"/>
      <c r="O52" s="22"/>
      <c r="P52" s="22"/>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row>
    <row r="53" spans="1:41" ht="14.1" customHeight="1">
      <c r="A53" s="95"/>
      <c r="B53" s="95"/>
      <c r="C53" s="95"/>
      <c r="D53" s="95"/>
      <c r="E53" s="95"/>
      <c r="F53" s="95"/>
      <c r="J53" s="95"/>
      <c r="K53" s="95"/>
      <c r="L53" s="95"/>
      <c r="M53" s="22"/>
      <c r="N53" s="22"/>
      <c r="O53" s="22"/>
      <c r="P53" s="22"/>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row>
    <row r="54" spans="1:41" ht="14.1" customHeight="1">
      <c r="A54" s="95"/>
      <c r="B54" s="95"/>
      <c r="C54" s="95"/>
      <c r="D54" s="95"/>
      <c r="E54" s="95"/>
      <c r="F54" s="95"/>
      <c r="J54" s="95"/>
      <c r="K54" s="95"/>
      <c r="L54" s="95"/>
      <c r="M54" s="22"/>
      <c r="N54" s="22"/>
      <c r="O54" s="22"/>
      <c r="P54" s="22"/>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row>
    <row r="55" spans="1:41" ht="14.1" customHeight="1">
      <c r="A55" s="95"/>
      <c r="B55" s="95"/>
      <c r="C55" s="95"/>
      <c r="D55" s="95"/>
      <c r="E55" s="95"/>
      <c r="F55" s="95"/>
      <c r="J55" s="95"/>
      <c r="K55" s="95"/>
      <c r="L55" s="95"/>
      <c r="M55" s="22"/>
      <c r="N55" s="22"/>
      <c r="O55" s="22"/>
      <c r="P55" s="22"/>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row>
    <row r="56" spans="1:41" ht="14.1" customHeight="1">
      <c r="A56" s="95"/>
      <c r="B56" s="95"/>
      <c r="C56" s="95"/>
      <c r="D56" s="95"/>
      <c r="E56" s="95"/>
      <c r="F56" s="95"/>
      <c r="J56" s="95"/>
      <c r="K56" s="95"/>
      <c r="L56" s="95"/>
      <c r="M56" s="22"/>
      <c r="N56" s="22"/>
      <c r="O56" s="22"/>
      <c r="P56" s="22"/>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row>
    <row r="57" spans="1:41" ht="14.1" customHeight="1">
      <c r="A57" s="95"/>
      <c r="B57" s="95"/>
      <c r="C57" s="95"/>
      <c r="D57" s="95"/>
      <c r="E57" s="95"/>
      <c r="F57" s="95"/>
      <c r="J57" s="95"/>
      <c r="K57" s="95"/>
      <c r="L57" s="95"/>
      <c r="M57" s="22"/>
      <c r="N57" s="22"/>
      <c r="O57" s="22"/>
      <c r="P57" s="22"/>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row>
    <row r="58" spans="1:41" ht="14.1" customHeight="1">
      <c r="A58" s="95"/>
      <c r="B58" s="95"/>
      <c r="C58" s="95"/>
      <c r="D58" s="95"/>
      <c r="E58" s="95"/>
      <c r="F58" s="95"/>
      <c r="J58" s="95"/>
      <c r="K58" s="95"/>
      <c r="L58" s="95"/>
      <c r="M58" s="22"/>
      <c r="N58" s="22"/>
      <c r="O58" s="22"/>
      <c r="P58" s="22"/>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row>
    <row r="59" spans="1:41" ht="14.1" customHeight="1">
      <c r="A59" s="95"/>
      <c r="B59" s="95"/>
      <c r="C59" s="95"/>
      <c r="D59" s="95"/>
      <c r="E59" s="95"/>
      <c r="F59" s="95"/>
      <c r="J59" s="95"/>
      <c r="K59" s="95"/>
      <c r="L59" s="95"/>
      <c r="M59" s="22"/>
      <c r="N59" s="22"/>
      <c r="O59" s="22"/>
      <c r="P59" s="22"/>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row>
    <row r="60" spans="1:41" ht="14.1" customHeight="1">
      <c r="A60" s="95"/>
      <c r="B60" s="95"/>
      <c r="C60" s="95"/>
      <c r="D60" s="95"/>
      <c r="E60" s="95"/>
      <c r="F60" s="95"/>
      <c r="J60" s="95"/>
      <c r="K60" s="95"/>
      <c r="L60" s="95"/>
      <c r="M60" s="22"/>
      <c r="N60" s="22"/>
      <c r="O60" s="22"/>
      <c r="P60" s="22"/>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row>
    <row r="61" spans="1:41" ht="14.1" customHeight="1">
      <c r="A61" s="95"/>
      <c r="B61" s="95"/>
      <c r="C61" s="95"/>
      <c r="D61" s="95"/>
      <c r="E61" s="95"/>
      <c r="F61" s="95"/>
      <c r="J61" s="95"/>
      <c r="K61" s="95"/>
      <c r="L61" s="95"/>
      <c r="M61" s="22"/>
      <c r="N61" s="22"/>
      <c r="O61" s="22"/>
      <c r="P61" s="22"/>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row>
    <row r="62" spans="1:41" ht="14.1" customHeight="1">
      <c r="A62" s="95"/>
      <c r="B62" s="95"/>
      <c r="C62" s="95"/>
      <c r="D62" s="95"/>
      <c r="E62" s="95"/>
      <c r="F62" s="95"/>
      <c r="J62" s="95"/>
      <c r="K62" s="95"/>
      <c r="L62" s="95"/>
      <c r="M62" s="22"/>
      <c r="N62" s="22"/>
      <c r="O62" s="22"/>
      <c r="P62" s="22"/>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row>
    <row r="63" spans="1:41" ht="14.1" customHeight="1">
      <c r="A63" s="95"/>
      <c r="B63" s="95"/>
      <c r="C63" s="95"/>
      <c r="D63" s="95"/>
      <c r="E63" s="95"/>
      <c r="F63" s="95"/>
      <c r="J63" s="95"/>
      <c r="K63" s="95"/>
      <c r="L63" s="95"/>
      <c r="M63" s="22"/>
      <c r="N63" s="22"/>
      <c r="O63" s="22"/>
      <c r="P63" s="22"/>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row>
    <row r="64" spans="1:41" ht="14.1" customHeight="1">
      <c r="A64" s="95"/>
      <c r="B64" s="95"/>
      <c r="C64" s="95"/>
      <c r="D64" s="95"/>
      <c r="E64" s="95"/>
      <c r="F64" s="95"/>
      <c r="J64" s="95"/>
      <c r="K64" s="95"/>
      <c r="L64" s="95"/>
      <c r="M64" s="22"/>
      <c r="N64" s="22"/>
      <c r="O64" s="22"/>
      <c r="P64" s="22"/>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row>
    <row r="65" spans="1:41" ht="14.1" customHeight="1">
      <c r="A65" s="95"/>
      <c r="B65" s="95"/>
      <c r="C65" s="95"/>
      <c r="D65" s="95"/>
      <c r="E65" s="95"/>
      <c r="F65" s="95"/>
      <c r="J65" s="95"/>
      <c r="K65" s="95"/>
      <c r="L65" s="95"/>
      <c r="M65" s="22"/>
      <c r="N65" s="22"/>
      <c r="O65" s="22"/>
      <c r="P65" s="22"/>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row>
    <row r="66" spans="1:41" ht="14.1" customHeight="1">
      <c r="A66" s="95"/>
      <c r="B66" s="95"/>
      <c r="C66" s="95"/>
      <c r="D66" s="95"/>
      <c r="E66" s="95"/>
      <c r="F66" s="95"/>
      <c r="J66" s="95"/>
      <c r="K66" s="95"/>
      <c r="L66" s="95"/>
      <c r="M66" s="22"/>
      <c r="N66" s="22"/>
      <c r="O66" s="22"/>
      <c r="P66" s="22"/>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row>
    <row r="67" spans="1:41" ht="14.1" customHeight="1">
      <c r="A67" s="95"/>
      <c r="B67" s="95"/>
      <c r="C67" s="95"/>
      <c r="D67" s="95"/>
      <c r="E67" s="95"/>
      <c r="F67" s="95"/>
      <c r="J67" s="95"/>
      <c r="K67" s="95"/>
      <c r="L67" s="95"/>
      <c r="M67" s="22"/>
      <c r="N67" s="22"/>
      <c r="O67" s="22"/>
      <c r="P67" s="22"/>
      <c r="Q67" s="95"/>
      <c r="R67" s="95"/>
      <c r="S67" s="95"/>
      <c r="T67" s="95"/>
      <c r="U67" s="95"/>
      <c r="V67" s="95"/>
      <c r="W67" s="95"/>
      <c r="X67" s="95"/>
      <c r="Y67" s="95"/>
      <c r="Z67" s="95"/>
      <c r="AA67" s="95"/>
      <c r="AB67" s="95"/>
      <c r="AC67" s="95"/>
      <c r="AD67" s="95"/>
      <c r="AE67" s="95"/>
      <c r="AF67" s="95"/>
      <c r="AG67" s="95"/>
      <c r="AH67" s="95"/>
      <c r="AI67" s="95"/>
      <c r="AJ67" s="95"/>
      <c r="AK67" s="95"/>
      <c r="AL67" s="95"/>
      <c r="AM67" s="95"/>
      <c r="AN67" s="95"/>
      <c r="AO67" s="95"/>
    </row>
    <row r="68" spans="1:41" ht="14.1" customHeight="1">
      <c r="A68" s="95"/>
      <c r="B68" s="95"/>
      <c r="C68" s="95"/>
      <c r="D68" s="95"/>
      <c r="E68" s="95"/>
      <c r="F68" s="95"/>
      <c r="J68" s="95"/>
      <c r="K68" s="95"/>
      <c r="L68" s="95"/>
      <c r="M68" s="22"/>
      <c r="N68" s="22"/>
      <c r="O68" s="22"/>
      <c r="P68" s="22"/>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row>
    <row r="69" spans="1:41" ht="14.1" customHeight="1">
      <c r="A69" s="95"/>
      <c r="B69" s="95"/>
      <c r="C69" s="95"/>
      <c r="D69" s="95"/>
      <c r="E69" s="95"/>
      <c r="F69" s="95"/>
      <c r="J69" s="95"/>
      <c r="K69" s="95"/>
      <c r="L69" s="95"/>
      <c r="M69" s="22"/>
      <c r="N69" s="22"/>
      <c r="O69" s="22"/>
      <c r="P69" s="22"/>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row>
    <row r="70" spans="1:41" ht="14.1" customHeight="1">
      <c r="A70" s="95"/>
      <c r="B70" s="95"/>
      <c r="C70" s="95"/>
      <c r="D70" s="95"/>
      <c r="E70" s="95"/>
      <c r="F70" s="95"/>
      <c r="J70" s="95"/>
      <c r="K70" s="95"/>
      <c r="L70" s="95"/>
      <c r="M70" s="22"/>
      <c r="N70" s="22"/>
      <c r="O70" s="22"/>
      <c r="P70" s="22"/>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row>
    <row r="71" spans="1:41" ht="14.1" customHeight="1">
      <c r="A71" s="95"/>
      <c r="B71" s="95"/>
      <c r="C71" s="95"/>
      <c r="D71" s="95"/>
      <c r="E71" s="95"/>
      <c r="F71" s="95"/>
      <c r="J71" s="95"/>
      <c r="K71" s="95"/>
      <c r="L71" s="95"/>
      <c r="M71" s="22"/>
      <c r="N71" s="22"/>
      <c r="O71" s="22"/>
      <c r="P71" s="22"/>
      <c r="Q71" s="95"/>
      <c r="R71" s="95"/>
      <c r="S71" s="95"/>
      <c r="T71" s="95"/>
      <c r="U71" s="95"/>
      <c r="V71" s="95"/>
      <c r="W71" s="95"/>
      <c r="X71" s="95"/>
      <c r="Y71" s="95"/>
      <c r="Z71" s="95"/>
      <c r="AA71" s="95"/>
      <c r="AB71" s="95"/>
      <c r="AC71" s="95"/>
      <c r="AD71" s="95"/>
      <c r="AE71" s="95"/>
      <c r="AF71" s="95"/>
      <c r="AG71" s="95"/>
      <c r="AH71" s="95"/>
      <c r="AI71" s="95"/>
      <c r="AJ71" s="95"/>
      <c r="AK71" s="95"/>
      <c r="AL71" s="95"/>
      <c r="AM71" s="95"/>
      <c r="AN71" s="95"/>
      <c r="AO71" s="95"/>
    </row>
    <row r="72" spans="1:41" ht="14.1" customHeight="1">
      <c r="A72" s="95"/>
      <c r="B72" s="95"/>
      <c r="C72" s="95"/>
      <c r="D72" s="95"/>
      <c r="E72" s="95"/>
      <c r="F72" s="95"/>
      <c r="J72" s="95"/>
      <c r="K72" s="95"/>
      <c r="L72" s="95"/>
      <c r="M72" s="22"/>
      <c r="N72" s="22"/>
      <c r="O72" s="22"/>
      <c r="P72" s="22"/>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row>
    <row r="73" spans="1:41" ht="14.1" customHeight="1">
      <c r="P73" s="93"/>
    </row>
    <row r="74" spans="1:41" ht="14.1" customHeight="1">
      <c r="P74" s="93"/>
    </row>
    <row r="75" spans="1:41" ht="14.1" customHeight="1"/>
    <row r="76" spans="1:41" ht="14.1" customHeight="1"/>
    <row r="77" spans="1:41" ht="14.1" customHeight="1"/>
    <row r="78" spans="1:41" ht="12.75" hidden="1" customHeight="1"/>
    <row r="79" spans="1:41" ht="12.75" hidden="1" customHeight="1"/>
    <row r="80" spans="1:41" ht="12.75" hidden="1" customHeight="1"/>
    <row r="81" ht="12.75" hidden="1" customHeight="1"/>
    <row r="82" ht="12.75" hidden="1" customHeight="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row r="112"/>
    <row r="113"/>
    <row r="114"/>
    <row r="115"/>
    <row r="116"/>
    <row r="117"/>
    <row r="118"/>
    <row r="119"/>
    <row r="120"/>
    <row r="121"/>
    <row r="122"/>
    <row r="123"/>
    <row r="124"/>
  </sheetData>
  <sheetProtection sheet="1" objects="1" scenarios="1" selectLockedCells="1"/>
  <mergeCells count="39">
    <mergeCell ref="E1:F1"/>
    <mergeCell ref="E2:E4"/>
    <mergeCell ref="F2:F4"/>
    <mergeCell ref="B28:C28"/>
    <mergeCell ref="B20:C20"/>
    <mergeCell ref="B8:C8"/>
    <mergeCell ref="B23:C23"/>
    <mergeCell ref="B24:C24"/>
    <mergeCell ref="B25:C25"/>
    <mergeCell ref="B26:C26"/>
    <mergeCell ref="B27:C27"/>
    <mergeCell ref="B17:C17"/>
    <mergeCell ref="B19:C19"/>
    <mergeCell ref="B15:C15"/>
    <mergeCell ref="B16:C16"/>
    <mergeCell ref="B13:C13"/>
    <mergeCell ref="J37:K37"/>
    <mergeCell ref="I2:I4"/>
    <mergeCell ref="A29:A31"/>
    <mergeCell ref="B29:C29"/>
    <mergeCell ref="B30:C30"/>
    <mergeCell ref="A21:A28"/>
    <mergeCell ref="B31:C31"/>
    <mergeCell ref="B14:C14"/>
    <mergeCell ref="B21:C21"/>
    <mergeCell ref="B22:C22"/>
    <mergeCell ref="B18:C18"/>
    <mergeCell ref="M2:S2"/>
    <mergeCell ref="M3:M4"/>
    <mergeCell ref="M35:N35"/>
    <mergeCell ref="H2:H4"/>
    <mergeCell ref="A2:C2"/>
    <mergeCell ref="B5:C5"/>
    <mergeCell ref="B6:C6"/>
    <mergeCell ref="B7:C7"/>
    <mergeCell ref="G2:G4"/>
    <mergeCell ref="B9:C9"/>
    <mergeCell ref="B10:C10"/>
    <mergeCell ref="B12:C12"/>
  </mergeCells>
  <phoneticPr fontId="14"/>
  <printOptions horizontalCentered="1"/>
  <pageMargins left="0.82677165354330717" right="0.82677165354330717" top="1.3385826771653544" bottom="0.74803149606299213" header="0.9055118110236221" footer="0.31496062992125984"/>
  <pageSetup paperSize="9" scale="62" firstPageNumber="0" orientation="landscape" cellComments="asDisplayed" horizontalDpi="4294967293" verticalDpi="300" r:id="rId1"/>
  <headerFooter alignWithMargins="0">
    <oddHeader>&amp;L夏秋トマト（低段密植年２作）（中間～山間地域）</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pageSetUpPr fitToPage="1"/>
  </sheetPr>
  <dimension ref="A1:R195"/>
  <sheetViews>
    <sheetView showGridLines="0" workbookViewId="0">
      <pane ySplit="4" topLeftCell="A5" activePane="bottomLeft" state="frozen"/>
      <selection activeCell="I22" sqref="I22"/>
      <selection pane="bottomLeft" activeCell="D5" sqref="D5"/>
    </sheetView>
  </sheetViews>
  <sheetFormatPr defaultRowHeight="13.5"/>
  <cols>
    <col min="1" max="1" width="15.125" style="10" customWidth="1"/>
    <col min="2" max="2" width="9" style="10"/>
    <col min="3" max="3" width="14.625" style="10" customWidth="1"/>
    <col min="4" max="4" width="16.625" style="10" customWidth="1"/>
    <col min="5" max="5" width="4.875" style="10" bestFit="1" customWidth="1"/>
    <col min="6" max="10" width="9" style="299"/>
    <col min="11" max="11" width="18.375" style="10" customWidth="1"/>
    <col min="12" max="12" width="9.125" style="10" customWidth="1"/>
    <col min="13" max="13" width="9.125" style="300" customWidth="1"/>
    <col min="14" max="14" width="9.125" style="299" customWidth="1"/>
    <col min="15" max="15" width="18.625" style="301" customWidth="1"/>
    <col min="16" max="16" width="9" style="10"/>
    <col min="17" max="18" width="9" style="574"/>
    <col min="19" max="16384" width="9" style="10"/>
  </cols>
  <sheetData>
    <row r="1" spans="1:18" ht="14.25" thickBot="1">
      <c r="A1" s="24" t="str">
        <f>IF(①技術体系!A2=0,"",①技術体系!A2)</f>
        <v>トマト</v>
      </c>
      <c r="D1" s="24" t="str">
        <f>IF(①技術体系!C2=0,"",①技術体系!C2)</f>
        <v>麗夏等</v>
      </c>
    </row>
    <row r="2" spans="1:18" s="401" customFormat="1" ht="24" customHeight="1" thickBot="1">
      <c r="A2" s="867" t="s">
        <v>4</v>
      </c>
      <c r="B2" s="868" t="s">
        <v>59</v>
      </c>
      <c r="C2" s="869" t="s">
        <v>60</v>
      </c>
      <c r="D2" s="869" t="s">
        <v>61</v>
      </c>
      <c r="E2" s="870" t="s">
        <v>421</v>
      </c>
      <c r="F2" s="864" t="s">
        <v>319</v>
      </c>
      <c r="G2" s="865"/>
      <c r="H2" s="865"/>
      <c r="I2" s="865"/>
      <c r="J2" s="865"/>
      <c r="K2" s="866" t="s">
        <v>62</v>
      </c>
      <c r="L2" s="866"/>
      <c r="M2" s="866"/>
      <c r="N2" s="866"/>
      <c r="O2" s="851" t="s">
        <v>63</v>
      </c>
      <c r="Q2" s="575"/>
      <c r="R2" s="575"/>
    </row>
    <row r="3" spans="1:18" s="401" customFormat="1" ht="19.5" customHeight="1" thickBot="1">
      <c r="A3" s="867"/>
      <c r="B3" s="868"/>
      <c r="C3" s="869"/>
      <c r="D3" s="869"/>
      <c r="E3" s="871"/>
      <c r="F3" s="852" t="s">
        <v>320</v>
      </c>
      <c r="G3" s="853"/>
      <c r="H3" s="852" t="s">
        <v>321</v>
      </c>
      <c r="I3" s="854"/>
      <c r="J3" s="855" t="s">
        <v>66</v>
      </c>
      <c r="K3" s="857" t="s">
        <v>67</v>
      </c>
      <c r="L3" s="859" t="s">
        <v>492</v>
      </c>
      <c r="M3" s="861" t="s">
        <v>422</v>
      </c>
      <c r="N3" s="862" t="s">
        <v>423</v>
      </c>
      <c r="O3" s="851"/>
      <c r="Q3" s="575"/>
      <c r="R3" s="575"/>
    </row>
    <row r="4" spans="1:18" s="401" customFormat="1" ht="27.75" thickBot="1">
      <c r="A4" s="867"/>
      <c r="B4" s="868"/>
      <c r="C4" s="869"/>
      <c r="D4" s="869"/>
      <c r="E4" s="871"/>
      <c r="F4" s="302" t="s">
        <v>64</v>
      </c>
      <c r="G4" s="303" t="s">
        <v>317</v>
      </c>
      <c r="H4" s="304" t="s">
        <v>65</v>
      </c>
      <c r="I4" s="303" t="s">
        <v>318</v>
      </c>
      <c r="J4" s="856"/>
      <c r="K4" s="858"/>
      <c r="L4" s="860"/>
      <c r="M4" s="860"/>
      <c r="N4" s="863"/>
      <c r="O4" s="851"/>
      <c r="Q4" s="575" t="s">
        <v>254</v>
      </c>
      <c r="R4" s="575" t="s">
        <v>493</v>
      </c>
    </row>
    <row r="5" spans="1:18">
      <c r="A5" s="541" t="s">
        <v>287</v>
      </c>
      <c r="B5" s="542" t="s">
        <v>204</v>
      </c>
      <c r="C5" s="539"/>
      <c r="D5" s="539"/>
      <c r="E5" s="3">
        <v>1</v>
      </c>
      <c r="F5" s="8">
        <v>7.25</v>
      </c>
      <c r="G5" s="5">
        <v>1</v>
      </c>
      <c r="H5" s="8"/>
      <c r="I5" s="5"/>
      <c r="J5" s="372">
        <f t="shared" ref="J5:J14" si="0">(+F5*G5+H5*I5)*E5</f>
        <v>7.25</v>
      </c>
      <c r="K5" s="31"/>
      <c r="L5" s="8"/>
      <c r="M5" s="7"/>
      <c r="N5" s="9" t="str">
        <f t="shared" ref="N5:N14" si="1">IF(K5=0,"",L5*M5*E5)</f>
        <v/>
      </c>
      <c r="O5" s="20" t="s">
        <v>545</v>
      </c>
      <c r="Q5" s="574">
        <f t="shared" ref="Q5:Q68" si="2">F5*G5*E5</f>
        <v>7.25</v>
      </c>
      <c r="R5" s="574">
        <f t="shared" ref="R5:R68" si="3">H5*E5*I5</f>
        <v>0</v>
      </c>
    </row>
    <row r="6" spans="1:18">
      <c r="A6" s="541" t="s">
        <v>287</v>
      </c>
      <c r="B6" s="542" t="s">
        <v>204</v>
      </c>
      <c r="C6" s="539"/>
      <c r="D6" s="539"/>
      <c r="E6" s="3">
        <v>1</v>
      </c>
      <c r="F6" s="8">
        <v>0.5</v>
      </c>
      <c r="G6" s="8">
        <v>1</v>
      </c>
      <c r="H6" s="8"/>
      <c r="I6" s="8"/>
      <c r="J6" s="372">
        <f t="shared" si="0"/>
        <v>0.5</v>
      </c>
      <c r="K6" s="31"/>
      <c r="L6" s="8"/>
      <c r="M6" s="7"/>
      <c r="N6" s="9" t="str">
        <f t="shared" si="1"/>
        <v/>
      </c>
      <c r="O6" s="20" t="s">
        <v>476</v>
      </c>
      <c r="Q6" s="574">
        <f t="shared" si="2"/>
        <v>0.5</v>
      </c>
      <c r="R6" s="574">
        <f t="shared" si="3"/>
        <v>0</v>
      </c>
    </row>
    <row r="7" spans="1:18">
      <c r="A7" s="541" t="s">
        <v>287</v>
      </c>
      <c r="B7" s="542" t="s">
        <v>206</v>
      </c>
      <c r="C7" s="539"/>
      <c r="D7" s="539"/>
      <c r="E7" s="3">
        <v>1</v>
      </c>
      <c r="F7" s="8">
        <v>0.5</v>
      </c>
      <c r="G7" s="8">
        <v>1</v>
      </c>
      <c r="H7" s="8"/>
      <c r="I7" s="8"/>
      <c r="J7" s="372">
        <f>(+F7*G7+H7*I7)*E7</f>
        <v>0.5</v>
      </c>
      <c r="K7" s="31"/>
      <c r="L7" s="8"/>
      <c r="M7" s="7"/>
      <c r="N7" s="9" t="str">
        <f>IF(K7=0,"",L7*M7*E7)</f>
        <v/>
      </c>
      <c r="O7" s="20" t="s">
        <v>476</v>
      </c>
      <c r="Q7" s="574">
        <f t="shared" si="2"/>
        <v>0.5</v>
      </c>
      <c r="R7" s="574">
        <f t="shared" si="3"/>
        <v>0</v>
      </c>
    </row>
    <row r="8" spans="1:18">
      <c r="A8" s="541" t="s">
        <v>287</v>
      </c>
      <c r="B8" s="542" t="s">
        <v>206</v>
      </c>
      <c r="C8" s="539"/>
      <c r="D8" s="539"/>
      <c r="E8" s="3">
        <v>1</v>
      </c>
      <c r="F8" s="8">
        <v>1.33</v>
      </c>
      <c r="G8" s="8">
        <v>1</v>
      </c>
      <c r="H8" s="8"/>
      <c r="I8" s="8"/>
      <c r="J8" s="372">
        <f>(+F8*G8+H8*I8)*E8</f>
        <v>1.33</v>
      </c>
      <c r="K8" s="31"/>
      <c r="L8" s="8"/>
      <c r="M8" s="7"/>
      <c r="N8" s="9" t="str">
        <f>IF(K8=0,"",L8*M8*E8)</f>
        <v/>
      </c>
      <c r="O8" s="20" t="s">
        <v>478</v>
      </c>
      <c r="Q8" s="574">
        <f t="shared" si="2"/>
        <v>1.33</v>
      </c>
      <c r="R8" s="574">
        <f t="shared" si="3"/>
        <v>0</v>
      </c>
    </row>
    <row r="9" spans="1:18">
      <c r="A9" s="541" t="s">
        <v>287</v>
      </c>
      <c r="B9" s="542" t="s">
        <v>207</v>
      </c>
      <c r="C9" s="539"/>
      <c r="D9" s="539"/>
      <c r="E9" s="3">
        <v>1</v>
      </c>
      <c r="F9" s="8">
        <v>0.75</v>
      </c>
      <c r="G9" s="8">
        <v>1</v>
      </c>
      <c r="H9" s="8"/>
      <c r="I9" s="8"/>
      <c r="J9" s="372">
        <f>(+F9*G9+H9*I9)*E9</f>
        <v>0.75</v>
      </c>
      <c r="K9" s="31"/>
      <c r="L9" s="8"/>
      <c r="M9" s="7"/>
      <c r="N9" s="9" t="str">
        <f>IF(K9=0,"",L9*M9*E9)</f>
        <v/>
      </c>
      <c r="O9" s="20" t="s">
        <v>476</v>
      </c>
      <c r="Q9" s="574">
        <f t="shared" si="2"/>
        <v>0.75</v>
      </c>
      <c r="R9" s="574">
        <f t="shared" si="3"/>
        <v>0</v>
      </c>
    </row>
    <row r="10" spans="1:18">
      <c r="A10" s="541" t="s">
        <v>287</v>
      </c>
      <c r="B10" s="542" t="s">
        <v>207</v>
      </c>
      <c r="C10" s="539"/>
      <c r="D10" s="539"/>
      <c r="E10" s="3">
        <v>1</v>
      </c>
      <c r="F10" s="8">
        <v>1.33</v>
      </c>
      <c r="G10" s="8">
        <v>1</v>
      </c>
      <c r="H10" s="8"/>
      <c r="I10" s="8"/>
      <c r="J10" s="372">
        <f>(+F10*G10+H10*I10)*E10</f>
        <v>1.33</v>
      </c>
      <c r="K10" s="31"/>
      <c r="L10" s="8"/>
      <c r="M10" s="7"/>
      <c r="N10" s="9" t="str">
        <f>IF(K10=0,"",L10*M10*E10)</f>
        <v/>
      </c>
      <c r="O10" s="20" t="s">
        <v>478</v>
      </c>
      <c r="Q10" s="574">
        <f t="shared" si="2"/>
        <v>1.33</v>
      </c>
      <c r="R10" s="574">
        <f t="shared" si="3"/>
        <v>0</v>
      </c>
    </row>
    <row r="11" spans="1:18">
      <c r="A11" s="541" t="s">
        <v>287</v>
      </c>
      <c r="B11" s="542" t="s">
        <v>210</v>
      </c>
      <c r="C11" s="539"/>
      <c r="D11" s="539"/>
      <c r="E11" s="3">
        <v>1</v>
      </c>
      <c r="F11" s="8">
        <v>0.5</v>
      </c>
      <c r="G11" s="8">
        <v>1</v>
      </c>
      <c r="H11" s="8"/>
      <c r="I11" s="8"/>
      <c r="J11" s="372">
        <f t="shared" si="0"/>
        <v>0.5</v>
      </c>
      <c r="K11" s="31"/>
      <c r="L11" s="8"/>
      <c r="M11" s="7"/>
      <c r="N11" s="9" t="str">
        <f t="shared" si="1"/>
        <v/>
      </c>
      <c r="O11" s="20" t="s">
        <v>476</v>
      </c>
      <c r="Q11" s="574">
        <f t="shared" si="2"/>
        <v>0.5</v>
      </c>
      <c r="R11" s="574">
        <f t="shared" si="3"/>
        <v>0</v>
      </c>
    </row>
    <row r="12" spans="1:18">
      <c r="A12" s="541" t="s">
        <v>287</v>
      </c>
      <c r="B12" s="542" t="s">
        <v>210</v>
      </c>
      <c r="C12" s="539"/>
      <c r="D12" s="539"/>
      <c r="E12" s="3">
        <v>1</v>
      </c>
      <c r="F12" s="8">
        <v>1.33</v>
      </c>
      <c r="G12" s="8">
        <v>1</v>
      </c>
      <c r="H12" s="8"/>
      <c r="I12" s="8"/>
      <c r="J12" s="372">
        <f t="shared" si="0"/>
        <v>1.33</v>
      </c>
      <c r="K12" s="31"/>
      <c r="L12" s="8"/>
      <c r="M12" s="7"/>
      <c r="N12" s="9" t="str">
        <f t="shared" si="1"/>
        <v/>
      </c>
      <c r="O12" s="20" t="s">
        <v>478</v>
      </c>
      <c r="Q12" s="574">
        <f t="shared" si="2"/>
        <v>1.33</v>
      </c>
      <c r="R12" s="574">
        <f t="shared" si="3"/>
        <v>0</v>
      </c>
    </row>
    <row r="13" spans="1:18">
      <c r="A13" s="541" t="s">
        <v>287</v>
      </c>
      <c r="B13" s="542" t="s">
        <v>212</v>
      </c>
      <c r="C13" s="539"/>
      <c r="D13" s="539"/>
      <c r="E13" s="3">
        <v>1</v>
      </c>
      <c r="F13" s="8">
        <v>0.5</v>
      </c>
      <c r="G13" s="8">
        <v>1</v>
      </c>
      <c r="H13" s="8"/>
      <c r="I13" s="8"/>
      <c r="J13" s="372">
        <f t="shared" si="0"/>
        <v>0.5</v>
      </c>
      <c r="K13" s="31"/>
      <c r="L13" s="8"/>
      <c r="M13" s="7"/>
      <c r="N13" s="9" t="str">
        <f t="shared" si="1"/>
        <v/>
      </c>
      <c r="O13" s="20" t="s">
        <v>476</v>
      </c>
      <c r="Q13" s="574">
        <f t="shared" si="2"/>
        <v>0.5</v>
      </c>
      <c r="R13" s="574">
        <f t="shared" si="3"/>
        <v>0</v>
      </c>
    </row>
    <row r="14" spans="1:18">
      <c r="A14" s="541" t="s">
        <v>287</v>
      </c>
      <c r="B14" s="542" t="s">
        <v>212</v>
      </c>
      <c r="C14" s="539"/>
      <c r="D14" s="539"/>
      <c r="E14" s="3">
        <v>1</v>
      </c>
      <c r="F14" s="8">
        <v>1.33</v>
      </c>
      <c r="G14" s="8">
        <v>1</v>
      </c>
      <c r="H14" s="8"/>
      <c r="I14" s="8"/>
      <c r="J14" s="372">
        <f t="shared" si="0"/>
        <v>1.33</v>
      </c>
      <c r="K14" s="31"/>
      <c r="L14" s="8"/>
      <c r="M14" s="7"/>
      <c r="N14" s="9" t="str">
        <f t="shared" si="1"/>
        <v/>
      </c>
      <c r="O14" s="20" t="s">
        <v>478</v>
      </c>
      <c r="Q14" s="574">
        <f t="shared" si="2"/>
        <v>1.33</v>
      </c>
      <c r="R14" s="574">
        <f t="shared" si="3"/>
        <v>0</v>
      </c>
    </row>
    <row r="15" spans="1:18">
      <c r="A15" s="535" t="s">
        <v>287</v>
      </c>
      <c r="B15" s="536" t="s">
        <v>212</v>
      </c>
      <c r="C15" s="537"/>
      <c r="D15" s="538"/>
      <c r="E15" s="3">
        <v>1</v>
      </c>
      <c r="F15" s="5">
        <v>20.61</v>
      </c>
      <c r="G15" s="5">
        <v>1</v>
      </c>
      <c r="H15" s="5"/>
      <c r="I15" s="5"/>
      <c r="J15" s="371">
        <f>(+F15*G15+H15*I15)*E15</f>
        <v>20.61</v>
      </c>
      <c r="K15" s="6"/>
      <c r="L15" s="5"/>
      <c r="M15" s="4"/>
      <c r="N15" s="244" t="str">
        <f>IF(K15=0,"",L15*M15*E15)</f>
        <v/>
      </c>
      <c r="O15" s="20" t="s">
        <v>543</v>
      </c>
      <c r="Q15" s="574">
        <f t="shared" si="2"/>
        <v>20.61</v>
      </c>
      <c r="R15" s="574">
        <f t="shared" si="3"/>
        <v>0</v>
      </c>
    </row>
    <row r="16" spans="1:18">
      <c r="A16" s="535" t="s">
        <v>287</v>
      </c>
      <c r="B16" s="536" t="s">
        <v>212</v>
      </c>
      <c r="C16" s="539"/>
      <c r="D16" s="540"/>
      <c r="E16" s="3">
        <v>1</v>
      </c>
      <c r="F16" s="8">
        <v>8</v>
      </c>
      <c r="G16" s="5">
        <v>1</v>
      </c>
      <c r="H16" s="8"/>
      <c r="I16" s="5"/>
      <c r="J16" s="371">
        <f t="shared" ref="J16:J33" si="4">(+F16*G16+H16*I16)*E16</f>
        <v>8</v>
      </c>
      <c r="K16" s="2"/>
      <c r="L16" s="8"/>
      <c r="M16" s="7"/>
      <c r="N16" s="9" t="str">
        <f t="shared" ref="N16:N33" si="5">IF(K16=0,"",L16*M16*E16)</f>
        <v/>
      </c>
      <c r="O16" s="20" t="s">
        <v>532</v>
      </c>
      <c r="Q16" s="574">
        <f t="shared" si="2"/>
        <v>8</v>
      </c>
      <c r="R16" s="574">
        <f t="shared" si="3"/>
        <v>0</v>
      </c>
    </row>
    <row r="17" spans="1:18">
      <c r="A17" s="620" t="s">
        <v>287</v>
      </c>
      <c r="B17" s="621" t="s">
        <v>214</v>
      </c>
      <c r="C17" s="630"/>
      <c r="D17" s="622"/>
      <c r="E17" s="3">
        <v>1</v>
      </c>
      <c r="F17" s="8">
        <v>2</v>
      </c>
      <c r="G17" s="8">
        <v>1</v>
      </c>
      <c r="H17" s="8"/>
      <c r="I17" s="8"/>
      <c r="J17" s="372">
        <f>(+F17*G17+H17*I17)*E17</f>
        <v>2</v>
      </c>
      <c r="K17" s="624"/>
      <c r="L17" s="623"/>
      <c r="M17" s="625"/>
      <c r="N17" s="626"/>
      <c r="O17" s="20" t="s">
        <v>478</v>
      </c>
      <c r="Q17" s="574">
        <f t="shared" si="2"/>
        <v>2</v>
      </c>
      <c r="R17" s="574">
        <f t="shared" si="3"/>
        <v>0</v>
      </c>
    </row>
    <row r="18" spans="1:18">
      <c r="A18" s="620" t="s">
        <v>287</v>
      </c>
      <c r="B18" s="621" t="s">
        <v>216</v>
      </c>
      <c r="C18" s="630"/>
      <c r="D18" s="622"/>
      <c r="E18" s="3">
        <v>1</v>
      </c>
      <c r="F18" s="8">
        <v>1.33</v>
      </c>
      <c r="G18" s="8">
        <v>1</v>
      </c>
      <c r="H18" s="8"/>
      <c r="I18" s="8"/>
      <c r="J18" s="372">
        <f t="shared" ref="J18" si="6">(+F18*G18+H18*I18)*E18</f>
        <v>1.33</v>
      </c>
      <c r="K18" s="624"/>
      <c r="L18" s="623"/>
      <c r="M18" s="625"/>
      <c r="N18" s="626"/>
      <c r="O18" s="20" t="s">
        <v>478</v>
      </c>
      <c r="Q18" s="574">
        <f t="shared" si="2"/>
        <v>1.33</v>
      </c>
      <c r="R18" s="574">
        <f t="shared" si="3"/>
        <v>0</v>
      </c>
    </row>
    <row r="19" spans="1:18">
      <c r="A19" s="541" t="s">
        <v>287</v>
      </c>
      <c r="B19" s="542" t="s">
        <v>218</v>
      </c>
      <c r="C19" s="539"/>
      <c r="D19" s="539"/>
      <c r="E19" s="3">
        <v>1</v>
      </c>
      <c r="F19" s="8">
        <v>5.73</v>
      </c>
      <c r="G19" s="8">
        <v>1</v>
      </c>
      <c r="H19" s="8"/>
      <c r="I19" s="8"/>
      <c r="J19" s="372">
        <f t="shared" si="4"/>
        <v>5.73</v>
      </c>
      <c r="K19" s="31"/>
      <c r="L19" s="8"/>
      <c r="M19" s="7"/>
      <c r="N19" s="9" t="str">
        <f t="shared" si="5"/>
        <v/>
      </c>
      <c r="O19" s="20" t="s">
        <v>542</v>
      </c>
      <c r="Q19" s="574">
        <f t="shared" si="2"/>
        <v>5.73</v>
      </c>
      <c r="R19" s="574">
        <f t="shared" si="3"/>
        <v>0</v>
      </c>
    </row>
    <row r="20" spans="1:18">
      <c r="A20" s="628" t="s">
        <v>287</v>
      </c>
      <c r="B20" s="629" t="s">
        <v>218</v>
      </c>
      <c r="C20" s="630"/>
      <c r="D20" s="630"/>
      <c r="E20" s="3">
        <v>1</v>
      </c>
      <c r="F20" s="8">
        <v>1.66</v>
      </c>
      <c r="G20" s="8">
        <v>1</v>
      </c>
      <c r="H20" s="8"/>
      <c r="I20" s="8"/>
      <c r="J20" s="372">
        <f t="shared" si="4"/>
        <v>1.66</v>
      </c>
      <c r="K20" s="31"/>
      <c r="L20" s="8"/>
      <c r="M20" s="7"/>
      <c r="N20" s="9" t="str">
        <f t="shared" si="5"/>
        <v/>
      </c>
      <c r="O20" s="20" t="s">
        <v>478</v>
      </c>
      <c r="Q20" s="574">
        <f t="shared" si="2"/>
        <v>1.66</v>
      </c>
      <c r="R20" s="574">
        <f t="shared" si="3"/>
        <v>0</v>
      </c>
    </row>
    <row r="21" spans="1:18">
      <c r="A21" s="628" t="s">
        <v>287</v>
      </c>
      <c r="B21" s="629" t="s">
        <v>221</v>
      </c>
      <c r="C21" s="630"/>
      <c r="D21" s="630"/>
      <c r="E21" s="3">
        <v>1</v>
      </c>
      <c r="F21" s="8">
        <v>1.66</v>
      </c>
      <c r="G21" s="8">
        <v>1</v>
      </c>
      <c r="H21" s="8"/>
      <c r="I21" s="8"/>
      <c r="J21" s="372">
        <f>(+F21*G21+H21*I21)*E21</f>
        <v>1.66</v>
      </c>
      <c r="K21" s="632"/>
      <c r="L21" s="623"/>
      <c r="M21" s="625"/>
      <c r="N21" s="626"/>
      <c r="O21" s="20" t="s">
        <v>478</v>
      </c>
      <c r="Q21" s="574">
        <f t="shared" si="2"/>
        <v>1.66</v>
      </c>
      <c r="R21" s="574">
        <f t="shared" si="3"/>
        <v>0</v>
      </c>
    </row>
    <row r="22" spans="1:18">
      <c r="A22" s="628"/>
      <c r="B22" s="629"/>
      <c r="C22" s="630"/>
      <c r="D22" s="630"/>
      <c r="E22" s="3"/>
      <c r="F22" s="623"/>
      <c r="G22" s="5"/>
      <c r="H22" s="623"/>
      <c r="I22" s="5"/>
      <c r="J22" s="371"/>
      <c r="K22" s="632"/>
      <c r="L22" s="623"/>
      <c r="M22" s="625"/>
      <c r="N22" s="626"/>
      <c r="O22" s="20"/>
      <c r="Q22" s="574">
        <f t="shared" si="2"/>
        <v>0</v>
      </c>
      <c r="R22" s="574">
        <f t="shared" si="3"/>
        <v>0</v>
      </c>
    </row>
    <row r="23" spans="1:18">
      <c r="A23" s="535" t="s">
        <v>465</v>
      </c>
      <c r="B23" s="536" t="s">
        <v>214</v>
      </c>
      <c r="C23" s="540"/>
      <c r="D23" s="540"/>
      <c r="E23" s="3">
        <v>1</v>
      </c>
      <c r="F23" s="8">
        <v>22.9</v>
      </c>
      <c r="G23" s="5">
        <v>1</v>
      </c>
      <c r="H23" s="8"/>
      <c r="I23" s="5"/>
      <c r="J23" s="371">
        <f>(+F23*G23+H23*I23)*E23</f>
        <v>22.9</v>
      </c>
      <c r="K23" s="2"/>
      <c r="L23" s="8"/>
      <c r="M23" s="7"/>
      <c r="N23" s="9" t="str">
        <f>IF(K23=0,"",L23*M23*E23)</f>
        <v/>
      </c>
      <c r="O23" s="20" t="s">
        <v>536</v>
      </c>
      <c r="Q23" s="574">
        <f t="shared" si="2"/>
        <v>22.9</v>
      </c>
      <c r="R23" s="574">
        <f t="shared" si="3"/>
        <v>0</v>
      </c>
    </row>
    <row r="24" spans="1:18">
      <c r="A24" s="620" t="s">
        <v>465</v>
      </c>
      <c r="B24" s="621" t="s">
        <v>216</v>
      </c>
      <c r="C24" s="622"/>
      <c r="D24" s="622"/>
      <c r="E24" s="3">
        <v>1</v>
      </c>
      <c r="F24" s="623">
        <v>5</v>
      </c>
      <c r="G24" s="5">
        <v>1</v>
      </c>
      <c r="H24" s="623"/>
      <c r="I24" s="5"/>
      <c r="J24" s="371">
        <f>(+F24*G24+H24*I24)*E24</f>
        <v>5</v>
      </c>
      <c r="K24" s="624"/>
      <c r="L24" s="623"/>
      <c r="M24" s="625"/>
      <c r="N24" s="626" t="str">
        <f>IF(K24=0,"",L24*M24*E24)</f>
        <v/>
      </c>
      <c r="O24" s="20" t="s">
        <v>537</v>
      </c>
      <c r="Q24" s="574">
        <f t="shared" si="2"/>
        <v>5</v>
      </c>
      <c r="R24" s="574">
        <f t="shared" si="3"/>
        <v>0</v>
      </c>
    </row>
    <row r="25" spans="1:18">
      <c r="A25" s="535" t="s">
        <v>465</v>
      </c>
      <c r="B25" s="536" t="s">
        <v>218</v>
      </c>
      <c r="C25" s="540"/>
      <c r="D25" s="540"/>
      <c r="E25" s="3">
        <v>1</v>
      </c>
      <c r="F25" s="8">
        <v>4.58</v>
      </c>
      <c r="G25" s="5">
        <v>1</v>
      </c>
      <c r="H25" s="8"/>
      <c r="I25" s="5"/>
      <c r="J25" s="371">
        <f>(+F25*G25+H25*I25)*E25</f>
        <v>4.58</v>
      </c>
      <c r="K25" s="2"/>
      <c r="L25" s="8"/>
      <c r="M25" s="7"/>
      <c r="N25" s="9" t="str">
        <f>IF(K25=0,"",L25*M25*E25)</f>
        <v/>
      </c>
      <c r="O25" s="20" t="s">
        <v>538</v>
      </c>
      <c r="Q25" s="574">
        <f t="shared" si="2"/>
        <v>4.58</v>
      </c>
      <c r="R25" s="574">
        <f t="shared" si="3"/>
        <v>0</v>
      </c>
    </row>
    <row r="26" spans="1:18">
      <c r="A26" s="535" t="s">
        <v>465</v>
      </c>
      <c r="B26" s="536" t="s">
        <v>221</v>
      </c>
      <c r="C26" s="540"/>
      <c r="D26" s="540"/>
      <c r="E26" s="3">
        <v>1</v>
      </c>
      <c r="F26" s="8">
        <v>17.18</v>
      </c>
      <c r="G26" s="5">
        <v>1</v>
      </c>
      <c r="H26" s="8"/>
      <c r="I26" s="5"/>
      <c r="J26" s="371">
        <f>(+F26*G26+H26*I26)*E26</f>
        <v>17.18</v>
      </c>
      <c r="K26" s="2"/>
      <c r="L26" s="8"/>
      <c r="M26" s="7"/>
      <c r="N26" s="9" t="str">
        <f>IF(K26=0,"",L26*M26*E26)</f>
        <v/>
      </c>
      <c r="O26" s="20" t="s">
        <v>549</v>
      </c>
      <c r="Q26" s="574">
        <f t="shared" si="2"/>
        <v>17.18</v>
      </c>
      <c r="R26" s="574">
        <f t="shared" si="3"/>
        <v>0</v>
      </c>
    </row>
    <row r="27" spans="1:18">
      <c r="A27" s="535" t="s">
        <v>465</v>
      </c>
      <c r="B27" s="536" t="s">
        <v>221</v>
      </c>
      <c r="C27" s="540"/>
      <c r="D27" s="540"/>
      <c r="E27" s="3">
        <v>1</v>
      </c>
      <c r="F27" s="8">
        <v>6.87</v>
      </c>
      <c r="G27" s="5">
        <v>1</v>
      </c>
      <c r="H27" s="8"/>
      <c r="I27" s="5"/>
      <c r="J27" s="371">
        <f>(+F27*G27+H27*I27)*E27</f>
        <v>6.87</v>
      </c>
      <c r="K27" s="2"/>
      <c r="L27" s="8"/>
      <c r="M27" s="7"/>
      <c r="N27" s="9" t="str">
        <f>IF(K27=0,"",L27*M27*E27)</f>
        <v/>
      </c>
      <c r="O27" s="20" t="s">
        <v>473</v>
      </c>
      <c r="Q27" s="574">
        <f t="shared" si="2"/>
        <v>6.87</v>
      </c>
      <c r="R27" s="574">
        <f t="shared" si="3"/>
        <v>0</v>
      </c>
    </row>
    <row r="28" spans="1:18">
      <c r="A28" s="620"/>
      <c r="B28" s="621"/>
      <c r="C28" s="622"/>
      <c r="D28" s="622"/>
      <c r="E28" s="3"/>
      <c r="F28" s="623"/>
      <c r="G28" s="5"/>
      <c r="H28" s="623"/>
      <c r="I28" s="5"/>
      <c r="J28" s="371"/>
      <c r="K28" s="624"/>
      <c r="L28" s="623"/>
      <c r="M28" s="625"/>
      <c r="N28" s="626"/>
      <c r="O28" s="20"/>
      <c r="Q28" s="574">
        <f t="shared" si="2"/>
        <v>0</v>
      </c>
      <c r="R28" s="574">
        <f t="shared" si="3"/>
        <v>0</v>
      </c>
    </row>
    <row r="29" spans="1:18">
      <c r="A29" s="535" t="s">
        <v>289</v>
      </c>
      <c r="B29" s="536" t="s">
        <v>222</v>
      </c>
      <c r="C29" s="540"/>
      <c r="D29" s="540"/>
      <c r="E29" s="3">
        <v>1</v>
      </c>
      <c r="F29" s="8">
        <v>8</v>
      </c>
      <c r="G29" s="5">
        <v>1</v>
      </c>
      <c r="H29" s="8"/>
      <c r="I29" s="5"/>
      <c r="J29" s="371">
        <f t="shared" ref="J29:J30" si="7">(+F29*G29+H29*I29)*E29</f>
        <v>8</v>
      </c>
      <c r="K29" s="2"/>
      <c r="L29" s="8"/>
      <c r="M29" s="7"/>
      <c r="N29" s="9" t="str">
        <f t="shared" ref="N29:N30" si="8">IF(K29=0,"",L29*M29*E29)</f>
        <v/>
      </c>
      <c r="O29" s="20" t="s">
        <v>534</v>
      </c>
      <c r="Q29" s="574">
        <f t="shared" si="2"/>
        <v>8</v>
      </c>
      <c r="R29" s="574">
        <f t="shared" si="3"/>
        <v>0</v>
      </c>
    </row>
    <row r="30" spans="1:18">
      <c r="A30" s="535" t="s">
        <v>289</v>
      </c>
      <c r="B30" s="536" t="s">
        <v>229</v>
      </c>
      <c r="C30" s="540"/>
      <c r="D30" s="540"/>
      <c r="E30" s="3">
        <v>1</v>
      </c>
      <c r="F30" s="8">
        <v>1.1499999999999999</v>
      </c>
      <c r="G30" s="5">
        <v>1</v>
      </c>
      <c r="H30" s="8"/>
      <c r="I30" s="5"/>
      <c r="J30" s="371">
        <f t="shared" si="7"/>
        <v>1.1499999999999999</v>
      </c>
      <c r="K30" s="2"/>
      <c r="L30" s="8"/>
      <c r="M30" s="7"/>
      <c r="N30" s="9" t="str">
        <f t="shared" si="8"/>
        <v/>
      </c>
      <c r="O30" s="20" t="s">
        <v>539</v>
      </c>
      <c r="Q30" s="574">
        <f t="shared" si="2"/>
        <v>1.1499999999999999</v>
      </c>
      <c r="R30" s="574">
        <f t="shared" si="3"/>
        <v>0</v>
      </c>
    </row>
    <row r="31" spans="1:18">
      <c r="A31" s="620"/>
      <c r="B31" s="621"/>
      <c r="C31" s="622"/>
      <c r="D31" s="622"/>
      <c r="E31" s="3"/>
      <c r="F31" s="623"/>
      <c r="G31" s="5"/>
      <c r="H31" s="623"/>
      <c r="I31" s="5"/>
      <c r="J31" s="371"/>
      <c r="K31" s="624"/>
      <c r="L31" s="623"/>
      <c r="M31" s="625"/>
      <c r="N31" s="626"/>
      <c r="O31" s="20"/>
      <c r="Q31" s="574">
        <f t="shared" si="2"/>
        <v>0</v>
      </c>
      <c r="R31" s="574">
        <f t="shared" si="3"/>
        <v>0</v>
      </c>
    </row>
    <row r="32" spans="1:18">
      <c r="A32" s="620" t="s">
        <v>290</v>
      </c>
      <c r="B32" s="621" t="s">
        <v>222</v>
      </c>
      <c r="C32" s="622"/>
      <c r="D32" s="622"/>
      <c r="E32" s="3">
        <v>1</v>
      </c>
      <c r="F32" s="623">
        <v>5.73</v>
      </c>
      <c r="G32" s="5">
        <v>1</v>
      </c>
      <c r="H32" s="623"/>
      <c r="I32" s="5"/>
      <c r="J32" s="371">
        <f t="shared" si="4"/>
        <v>5.73</v>
      </c>
      <c r="K32" s="624"/>
      <c r="L32" s="623"/>
      <c r="M32" s="625"/>
      <c r="N32" s="626"/>
      <c r="O32" s="20" t="s">
        <v>591</v>
      </c>
      <c r="Q32" s="574">
        <f t="shared" si="2"/>
        <v>5.73</v>
      </c>
      <c r="R32" s="574">
        <f t="shared" si="3"/>
        <v>0</v>
      </c>
    </row>
    <row r="33" spans="1:18">
      <c r="A33" s="535" t="s">
        <v>290</v>
      </c>
      <c r="B33" s="536" t="s">
        <v>222</v>
      </c>
      <c r="C33" s="540"/>
      <c r="D33" s="540"/>
      <c r="E33" s="3">
        <v>1</v>
      </c>
      <c r="F33" s="8">
        <v>9.26</v>
      </c>
      <c r="G33" s="5">
        <v>1</v>
      </c>
      <c r="H33" s="8"/>
      <c r="I33" s="5"/>
      <c r="J33" s="371">
        <f t="shared" si="4"/>
        <v>9.26</v>
      </c>
      <c r="K33" s="2"/>
      <c r="L33" s="8"/>
      <c r="M33" s="7"/>
      <c r="N33" s="9" t="str">
        <f t="shared" si="5"/>
        <v/>
      </c>
      <c r="O33" s="20" t="s">
        <v>535</v>
      </c>
      <c r="Q33" s="574">
        <f t="shared" si="2"/>
        <v>9.26</v>
      </c>
      <c r="R33" s="574">
        <f t="shared" si="3"/>
        <v>0</v>
      </c>
    </row>
    <row r="34" spans="1:18">
      <c r="A34" s="627"/>
      <c r="B34" s="621"/>
      <c r="C34" s="622"/>
      <c r="D34" s="622"/>
      <c r="E34" s="3"/>
      <c r="F34" s="623"/>
      <c r="G34" s="5"/>
      <c r="H34" s="623"/>
      <c r="I34" s="5"/>
      <c r="J34" s="371"/>
      <c r="K34" s="624"/>
      <c r="L34" s="623"/>
      <c r="M34" s="625"/>
      <c r="N34" s="626"/>
      <c r="O34" s="20"/>
      <c r="Q34" s="574">
        <f t="shared" si="2"/>
        <v>0</v>
      </c>
      <c r="R34" s="574">
        <f t="shared" si="3"/>
        <v>0</v>
      </c>
    </row>
    <row r="35" spans="1:18">
      <c r="A35" s="535" t="s">
        <v>466</v>
      </c>
      <c r="B35" s="536" t="s">
        <v>225</v>
      </c>
      <c r="C35" s="540"/>
      <c r="D35" s="540"/>
      <c r="E35" s="3">
        <v>1</v>
      </c>
      <c r="F35" s="8">
        <v>20.61</v>
      </c>
      <c r="G35" s="5">
        <v>1</v>
      </c>
      <c r="H35" s="8"/>
      <c r="I35" s="5"/>
      <c r="J35" s="371">
        <f>(+F35*G35+H35*I35)*E35</f>
        <v>20.61</v>
      </c>
      <c r="K35" s="2"/>
      <c r="L35" s="8"/>
      <c r="M35" s="7"/>
      <c r="N35" s="9" t="str">
        <f>IF(K35=0,"",L35*M35*E35)</f>
        <v/>
      </c>
      <c r="O35" s="20"/>
      <c r="Q35" s="574">
        <f t="shared" si="2"/>
        <v>20.61</v>
      </c>
      <c r="R35" s="574">
        <f t="shared" si="3"/>
        <v>0</v>
      </c>
    </row>
    <row r="36" spans="1:18">
      <c r="A36" s="535" t="s">
        <v>466</v>
      </c>
      <c r="B36" s="536" t="s">
        <v>227</v>
      </c>
      <c r="C36" s="540"/>
      <c r="D36" s="540"/>
      <c r="E36" s="3">
        <v>1</v>
      </c>
      <c r="F36" s="8">
        <v>51.53</v>
      </c>
      <c r="G36" s="5">
        <v>1</v>
      </c>
      <c r="H36" s="8"/>
      <c r="I36" s="5"/>
      <c r="J36" s="371">
        <f>(+F36*G36+H36*I36)*E36</f>
        <v>51.53</v>
      </c>
      <c r="K36" s="2"/>
      <c r="L36" s="8"/>
      <c r="M36" s="7"/>
      <c r="N36" s="9" t="str">
        <f>IF(K36=0,"",L36*M36*E36)</f>
        <v/>
      </c>
      <c r="O36" s="20"/>
      <c r="Q36" s="574">
        <f t="shared" si="2"/>
        <v>51.53</v>
      </c>
      <c r="R36" s="574">
        <f t="shared" si="3"/>
        <v>0</v>
      </c>
    </row>
    <row r="37" spans="1:18">
      <c r="A37" s="535" t="s">
        <v>466</v>
      </c>
      <c r="B37" s="536" t="s">
        <v>229</v>
      </c>
      <c r="C37" s="540"/>
      <c r="D37" s="540"/>
      <c r="E37" s="3">
        <v>1</v>
      </c>
      <c r="F37" s="8">
        <v>24.43</v>
      </c>
      <c r="G37" s="5">
        <v>1</v>
      </c>
      <c r="H37" s="8"/>
      <c r="I37" s="5"/>
      <c r="J37" s="371">
        <f>(+F37*G37+H37*I37)*E37</f>
        <v>24.43</v>
      </c>
      <c r="K37" s="2"/>
      <c r="L37" s="8"/>
      <c r="M37" s="7"/>
      <c r="N37" s="9" t="str">
        <f>IF(K37=0,"",L37*M37*E37)</f>
        <v/>
      </c>
      <c r="O37" s="20"/>
      <c r="Q37" s="574">
        <f t="shared" si="2"/>
        <v>24.43</v>
      </c>
      <c r="R37" s="574">
        <f t="shared" si="3"/>
        <v>0</v>
      </c>
    </row>
    <row r="38" spans="1:18">
      <c r="A38" s="620"/>
      <c r="B38" s="621"/>
      <c r="C38" s="622"/>
      <c r="D38" s="622"/>
      <c r="E38" s="3"/>
      <c r="F38" s="623"/>
      <c r="G38" s="5"/>
      <c r="H38" s="623"/>
      <c r="I38" s="5"/>
      <c r="J38" s="371"/>
      <c r="K38" s="624"/>
      <c r="L38" s="623"/>
      <c r="M38" s="625"/>
      <c r="N38" s="626"/>
      <c r="O38" s="20"/>
      <c r="Q38" s="574">
        <f t="shared" si="2"/>
        <v>0</v>
      </c>
      <c r="R38" s="574">
        <f t="shared" si="3"/>
        <v>0</v>
      </c>
    </row>
    <row r="39" spans="1:18">
      <c r="A39" s="535" t="s">
        <v>291</v>
      </c>
      <c r="B39" s="536" t="s">
        <v>222</v>
      </c>
      <c r="C39" s="540"/>
      <c r="D39" s="540"/>
      <c r="E39" s="3">
        <v>1</v>
      </c>
      <c r="F39" s="8">
        <v>12.02</v>
      </c>
      <c r="G39" s="5">
        <v>1</v>
      </c>
      <c r="H39" s="8"/>
      <c r="I39" s="5"/>
      <c r="J39" s="371">
        <f>(+F39*G39+H39*I39)*E39</f>
        <v>12.02</v>
      </c>
      <c r="K39" s="2"/>
      <c r="L39" s="8"/>
      <c r="M39" s="7"/>
      <c r="N39" s="9" t="str">
        <f>IF(K39=0,"",L39*M39*E39)</f>
        <v/>
      </c>
      <c r="O39" s="20"/>
      <c r="Q39" s="574">
        <f t="shared" si="2"/>
        <v>12.02</v>
      </c>
      <c r="R39" s="574">
        <f t="shared" si="3"/>
        <v>0</v>
      </c>
    </row>
    <row r="40" spans="1:18">
      <c r="A40" s="535" t="s">
        <v>291</v>
      </c>
      <c r="B40" s="536" t="s">
        <v>225</v>
      </c>
      <c r="C40" s="540"/>
      <c r="D40" s="540"/>
      <c r="E40" s="3">
        <v>1</v>
      </c>
      <c r="F40" s="8">
        <v>36.64</v>
      </c>
      <c r="G40" s="5">
        <v>1</v>
      </c>
      <c r="H40" s="8"/>
      <c r="I40" s="5"/>
      <c r="J40" s="371">
        <f t="shared" ref="J40" si="9">(+F40*G40+H40*I40)*E40</f>
        <v>36.64</v>
      </c>
      <c r="K40" s="2"/>
      <c r="L40" s="8"/>
      <c r="M40" s="7"/>
      <c r="N40" s="9" t="str">
        <f t="shared" ref="N40" si="10">IF(K40=0,"",L40*M40*E40)</f>
        <v/>
      </c>
      <c r="O40" s="20"/>
      <c r="Q40" s="574">
        <f t="shared" si="2"/>
        <v>36.64</v>
      </c>
      <c r="R40" s="574">
        <f t="shared" si="3"/>
        <v>0</v>
      </c>
    </row>
    <row r="41" spans="1:18">
      <c r="A41" s="535" t="s">
        <v>291</v>
      </c>
      <c r="B41" s="536" t="s">
        <v>227</v>
      </c>
      <c r="C41" s="540"/>
      <c r="D41" s="540"/>
      <c r="E41" s="3">
        <v>1</v>
      </c>
      <c r="F41" s="8">
        <v>13.74</v>
      </c>
      <c r="G41" s="5">
        <v>1</v>
      </c>
      <c r="H41" s="8"/>
      <c r="I41" s="5"/>
      <c r="J41" s="371">
        <f t="shared" ref="J41:J50" si="11">(+F41*G41+H41*I41)*E41</f>
        <v>13.74</v>
      </c>
      <c r="K41" s="2"/>
      <c r="L41" s="8"/>
      <c r="M41" s="7"/>
      <c r="N41" s="9" t="str">
        <f t="shared" ref="N41:N48" si="12">IF(K41=0,"",L41*M41*E41)</f>
        <v/>
      </c>
      <c r="O41" s="20"/>
      <c r="Q41" s="574">
        <f t="shared" si="2"/>
        <v>13.74</v>
      </c>
      <c r="R41" s="574">
        <f t="shared" si="3"/>
        <v>0</v>
      </c>
    </row>
    <row r="42" spans="1:18">
      <c r="A42" s="535" t="s">
        <v>291</v>
      </c>
      <c r="B42" s="536" t="s">
        <v>229</v>
      </c>
      <c r="C42" s="540"/>
      <c r="D42" s="540"/>
      <c r="E42" s="3">
        <v>1</v>
      </c>
      <c r="F42" s="8">
        <v>22.9</v>
      </c>
      <c r="G42" s="5">
        <v>1</v>
      </c>
      <c r="H42" s="8"/>
      <c r="I42" s="5"/>
      <c r="J42" s="371">
        <f t="shared" si="11"/>
        <v>22.9</v>
      </c>
      <c r="K42" s="2"/>
      <c r="L42" s="8"/>
      <c r="M42" s="7"/>
      <c r="N42" s="9" t="str">
        <f t="shared" si="12"/>
        <v/>
      </c>
      <c r="O42" s="20"/>
      <c r="Q42" s="574">
        <f t="shared" si="2"/>
        <v>22.9</v>
      </c>
      <c r="R42" s="574">
        <f t="shared" si="3"/>
        <v>0</v>
      </c>
    </row>
    <row r="43" spans="1:18">
      <c r="A43" s="535" t="s">
        <v>291</v>
      </c>
      <c r="B43" s="536" t="s">
        <v>231</v>
      </c>
      <c r="C43" s="540"/>
      <c r="D43" s="540"/>
      <c r="E43" s="3">
        <v>1</v>
      </c>
      <c r="F43" s="8">
        <v>22.9</v>
      </c>
      <c r="G43" s="5">
        <v>1</v>
      </c>
      <c r="H43" s="8"/>
      <c r="I43" s="5"/>
      <c r="J43" s="371">
        <f t="shared" si="11"/>
        <v>22.9</v>
      </c>
      <c r="K43" s="2"/>
      <c r="L43" s="8"/>
      <c r="M43" s="7"/>
      <c r="N43" s="9" t="str">
        <f t="shared" si="12"/>
        <v/>
      </c>
      <c r="O43" s="20"/>
      <c r="Q43" s="574">
        <f t="shared" si="2"/>
        <v>22.9</v>
      </c>
      <c r="R43" s="574">
        <f t="shared" si="3"/>
        <v>0</v>
      </c>
    </row>
    <row r="44" spans="1:18">
      <c r="A44" s="620"/>
      <c r="B44" s="621"/>
      <c r="C44" s="622"/>
      <c r="D44" s="622"/>
      <c r="E44" s="3"/>
      <c r="F44" s="623"/>
      <c r="G44" s="5"/>
      <c r="H44" s="623"/>
      <c r="I44" s="5"/>
      <c r="J44" s="371"/>
      <c r="K44" s="624"/>
      <c r="L44" s="623"/>
      <c r="M44" s="625"/>
      <c r="N44" s="626"/>
      <c r="O44" s="20"/>
      <c r="Q44" s="574">
        <f t="shared" si="2"/>
        <v>0</v>
      </c>
      <c r="R44" s="574">
        <f t="shared" si="3"/>
        <v>0</v>
      </c>
    </row>
    <row r="45" spans="1:18" ht="14.25" customHeight="1">
      <c r="A45" s="535" t="s">
        <v>531</v>
      </c>
      <c r="B45" s="536" t="s">
        <v>225</v>
      </c>
      <c r="C45" s="540"/>
      <c r="D45" s="540"/>
      <c r="E45" s="3">
        <v>1</v>
      </c>
      <c r="F45" s="8">
        <v>4</v>
      </c>
      <c r="G45" s="5">
        <v>1</v>
      </c>
      <c r="H45" s="8"/>
      <c r="I45" s="5"/>
      <c r="J45" s="371">
        <f t="shared" si="11"/>
        <v>4</v>
      </c>
      <c r="K45" s="2"/>
      <c r="L45" s="8"/>
      <c r="M45" s="7"/>
      <c r="N45" s="9" t="str">
        <f t="shared" si="12"/>
        <v/>
      </c>
      <c r="O45" s="20"/>
      <c r="Q45" s="574">
        <f t="shared" si="2"/>
        <v>4</v>
      </c>
      <c r="R45" s="574">
        <f t="shared" si="3"/>
        <v>0</v>
      </c>
    </row>
    <row r="46" spans="1:18">
      <c r="A46" s="535" t="s">
        <v>531</v>
      </c>
      <c r="B46" s="536" t="s">
        <v>227</v>
      </c>
      <c r="C46" s="540"/>
      <c r="D46" s="540"/>
      <c r="E46" s="3">
        <v>1</v>
      </c>
      <c r="F46" s="8">
        <v>9</v>
      </c>
      <c r="G46" s="5">
        <v>1</v>
      </c>
      <c r="H46" s="8"/>
      <c r="I46" s="5"/>
      <c r="J46" s="371">
        <f t="shared" si="11"/>
        <v>9</v>
      </c>
      <c r="K46" s="2"/>
      <c r="L46" s="8"/>
      <c r="M46" s="7"/>
      <c r="N46" s="9" t="str">
        <f t="shared" si="12"/>
        <v/>
      </c>
      <c r="O46" s="20"/>
      <c r="Q46" s="574">
        <f t="shared" si="2"/>
        <v>9</v>
      </c>
      <c r="R46" s="574">
        <f t="shared" si="3"/>
        <v>0</v>
      </c>
    </row>
    <row r="47" spans="1:18">
      <c r="A47" s="535" t="s">
        <v>531</v>
      </c>
      <c r="B47" s="536" t="s">
        <v>229</v>
      </c>
      <c r="C47" s="540"/>
      <c r="D47" s="540"/>
      <c r="E47" s="3">
        <v>1</v>
      </c>
      <c r="F47" s="8">
        <v>5</v>
      </c>
      <c r="G47" s="5">
        <v>1</v>
      </c>
      <c r="H47" s="8"/>
      <c r="I47" s="5"/>
      <c r="J47" s="371">
        <f t="shared" si="11"/>
        <v>5</v>
      </c>
      <c r="K47" s="2"/>
      <c r="L47" s="8"/>
      <c r="M47" s="7"/>
      <c r="N47" s="9" t="str">
        <f t="shared" si="12"/>
        <v/>
      </c>
      <c r="O47" s="20"/>
      <c r="Q47" s="574">
        <f t="shared" si="2"/>
        <v>5</v>
      </c>
      <c r="R47" s="574">
        <f t="shared" si="3"/>
        <v>0</v>
      </c>
    </row>
    <row r="48" spans="1:18">
      <c r="A48" s="535" t="s">
        <v>531</v>
      </c>
      <c r="B48" s="536" t="s">
        <v>231</v>
      </c>
      <c r="C48" s="540"/>
      <c r="D48" s="540"/>
      <c r="E48" s="3">
        <v>1</v>
      </c>
      <c r="F48" s="8">
        <v>7</v>
      </c>
      <c r="G48" s="5">
        <v>1</v>
      </c>
      <c r="H48" s="8"/>
      <c r="I48" s="5"/>
      <c r="J48" s="371">
        <f t="shared" si="11"/>
        <v>7</v>
      </c>
      <c r="K48" s="2"/>
      <c r="L48" s="8"/>
      <c r="M48" s="7"/>
      <c r="N48" s="9" t="str">
        <f t="shared" si="12"/>
        <v/>
      </c>
      <c r="O48" s="20"/>
      <c r="Q48" s="574">
        <f t="shared" si="2"/>
        <v>7</v>
      </c>
      <c r="R48" s="574">
        <f t="shared" si="3"/>
        <v>0</v>
      </c>
    </row>
    <row r="49" spans="1:18">
      <c r="A49" s="620"/>
      <c r="B49" s="621"/>
      <c r="C49" s="622"/>
      <c r="D49" s="622"/>
      <c r="E49" s="3"/>
      <c r="F49" s="623"/>
      <c r="G49" s="5"/>
      <c r="H49" s="623"/>
      <c r="I49" s="5"/>
      <c r="J49" s="371"/>
      <c r="K49" s="624"/>
      <c r="L49" s="623"/>
      <c r="M49" s="625"/>
      <c r="N49" s="626"/>
      <c r="O49" s="20"/>
      <c r="Q49" s="574">
        <f t="shared" si="2"/>
        <v>0</v>
      </c>
      <c r="R49" s="574">
        <f t="shared" si="3"/>
        <v>0</v>
      </c>
    </row>
    <row r="50" spans="1:18">
      <c r="A50" s="620" t="s">
        <v>292</v>
      </c>
      <c r="B50" s="621" t="s">
        <v>233</v>
      </c>
      <c r="C50" s="622"/>
      <c r="D50" s="622"/>
      <c r="E50" s="3">
        <v>1</v>
      </c>
      <c r="F50" s="623">
        <v>0.76</v>
      </c>
      <c r="G50" s="5">
        <v>1</v>
      </c>
      <c r="H50" s="623"/>
      <c r="I50" s="5"/>
      <c r="J50" s="371">
        <f t="shared" si="11"/>
        <v>0.76</v>
      </c>
      <c r="K50" s="624"/>
      <c r="L50" s="623"/>
      <c r="M50" s="625"/>
      <c r="N50" s="626"/>
      <c r="O50" s="20"/>
      <c r="Q50" s="574">
        <f t="shared" si="2"/>
        <v>0.76</v>
      </c>
      <c r="R50" s="574">
        <f t="shared" si="3"/>
        <v>0</v>
      </c>
    </row>
    <row r="51" spans="1:18">
      <c r="A51" s="535" t="s">
        <v>292</v>
      </c>
      <c r="B51" s="536" t="s">
        <v>235</v>
      </c>
      <c r="C51" s="540"/>
      <c r="D51" s="540"/>
      <c r="E51" s="3">
        <v>1</v>
      </c>
      <c r="F51" s="8">
        <v>1.52</v>
      </c>
      <c r="G51" s="5">
        <v>1</v>
      </c>
      <c r="H51" s="8"/>
      <c r="I51" s="5"/>
      <c r="J51" s="371">
        <f>(+F51*G51+H51*I51)*E51</f>
        <v>1.52</v>
      </c>
      <c r="K51" s="2"/>
      <c r="L51" s="8"/>
      <c r="M51" s="7"/>
      <c r="N51" s="9" t="str">
        <f>IF(K51=0,"",L51*M51*E51)</f>
        <v/>
      </c>
      <c r="O51" s="20"/>
      <c r="Q51" s="574">
        <f t="shared" si="2"/>
        <v>1.52</v>
      </c>
      <c r="R51" s="574">
        <f t="shared" si="3"/>
        <v>0</v>
      </c>
    </row>
    <row r="52" spans="1:18">
      <c r="A52" s="535" t="s">
        <v>292</v>
      </c>
      <c r="B52" s="536" t="s">
        <v>236</v>
      </c>
      <c r="C52" s="540"/>
      <c r="D52" s="540"/>
      <c r="E52" s="3">
        <v>1</v>
      </c>
      <c r="F52" s="8">
        <v>19.46</v>
      </c>
      <c r="G52" s="5">
        <v>1</v>
      </c>
      <c r="H52" s="8"/>
      <c r="I52" s="5"/>
      <c r="J52" s="371">
        <f>(+F52*G52+H52*I52)*E52</f>
        <v>19.46</v>
      </c>
      <c r="K52" s="2"/>
      <c r="L52" s="8"/>
      <c r="M52" s="7"/>
      <c r="N52" s="9" t="str">
        <f>IF(K52=0,"",L52*M52*E52)</f>
        <v/>
      </c>
      <c r="O52" s="20"/>
      <c r="Q52" s="574">
        <f t="shared" si="2"/>
        <v>19.46</v>
      </c>
      <c r="R52" s="574">
        <f t="shared" si="3"/>
        <v>0</v>
      </c>
    </row>
    <row r="53" spans="1:18">
      <c r="A53" s="535" t="s">
        <v>292</v>
      </c>
      <c r="B53" s="536" t="s">
        <v>238</v>
      </c>
      <c r="C53" s="539"/>
      <c r="D53" s="540"/>
      <c r="E53" s="3">
        <v>1</v>
      </c>
      <c r="F53" s="8">
        <v>42.75</v>
      </c>
      <c r="G53" s="5">
        <v>1</v>
      </c>
      <c r="H53" s="8"/>
      <c r="I53" s="5"/>
      <c r="J53" s="371">
        <f t="shared" ref="J53" si="13">(+F53*G53+H53*I53)*E53</f>
        <v>42.75</v>
      </c>
      <c r="K53" s="2"/>
      <c r="L53" s="8"/>
      <c r="M53" s="7"/>
      <c r="N53" s="9" t="str">
        <f t="shared" ref="N53" si="14">IF(K53=0,"",L53*M53*E53)</f>
        <v/>
      </c>
      <c r="O53" s="20"/>
      <c r="Q53" s="574">
        <f t="shared" si="2"/>
        <v>42.75</v>
      </c>
      <c r="R53" s="574">
        <f t="shared" si="3"/>
        <v>0</v>
      </c>
    </row>
    <row r="54" spans="1:18">
      <c r="A54" s="535" t="s">
        <v>292</v>
      </c>
      <c r="B54" s="536" t="s">
        <v>239</v>
      </c>
      <c r="C54" s="540"/>
      <c r="D54" s="540"/>
      <c r="E54" s="3">
        <v>1</v>
      </c>
      <c r="F54" s="8">
        <v>2.29</v>
      </c>
      <c r="G54" s="5">
        <v>1</v>
      </c>
      <c r="H54" s="8"/>
      <c r="I54" s="5"/>
      <c r="J54" s="371">
        <f>(+F54*G54+H54*I54)*E54</f>
        <v>2.29</v>
      </c>
      <c r="K54" s="2"/>
      <c r="L54" s="8"/>
      <c r="M54" s="7"/>
      <c r="N54" s="9" t="str">
        <f>IF(K54=0,"",L54*M54*E54)</f>
        <v/>
      </c>
      <c r="O54" s="20"/>
      <c r="Q54" s="574">
        <f t="shared" si="2"/>
        <v>2.29</v>
      </c>
      <c r="R54" s="574">
        <f t="shared" si="3"/>
        <v>0</v>
      </c>
    </row>
    <row r="55" spans="1:18">
      <c r="A55" s="620"/>
      <c r="B55" s="621"/>
      <c r="C55" s="622"/>
      <c r="D55" s="622"/>
      <c r="E55" s="3"/>
      <c r="F55" s="623"/>
      <c r="G55" s="5"/>
      <c r="H55" s="623"/>
      <c r="I55" s="5"/>
      <c r="J55" s="371"/>
      <c r="K55" s="624"/>
      <c r="L55" s="623"/>
      <c r="M55" s="625"/>
      <c r="N55" s="626"/>
      <c r="O55" s="20"/>
      <c r="Q55" s="574">
        <f t="shared" si="2"/>
        <v>0</v>
      </c>
      <c r="R55" s="574">
        <f t="shared" si="3"/>
        <v>0</v>
      </c>
    </row>
    <row r="56" spans="1:18">
      <c r="A56" s="541" t="s">
        <v>468</v>
      </c>
      <c r="B56" s="542" t="s">
        <v>233</v>
      </c>
      <c r="C56" s="539"/>
      <c r="D56" s="539"/>
      <c r="E56" s="3">
        <v>1</v>
      </c>
      <c r="F56" s="8">
        <v>0.54</v>
      </c>
      <c r="G56" s="8">
        <v>1</v>
      </c>
      <c r="H56" s="8"/>
      <c r="I56" s="8"/>
      <c r="J56" s="372">
        <f>(+F56*G56+H56*I56)*E56</f>
        <v>0.54</v>
      </c>
      <c r="K56" s="31"/>
      <c r="L56" s="8"/>
      <c r="M56" s="7"/>
      <c r="N56" s="9" t="str">
        <f>IF(K56=0,"",L56*M56*E56)</f>
        <v/>
      </c>
      <c r="O56" s="20"/>
      <c r="Q56" s="574">
        <f t="shared" si="2"/>
        <v>0.54</v>
      </c>
      <c r="R56" s="574">
        <f t="shared" si="3"/>
        <v>0</v>
      </c>
    </row>
    <row r="57" spans="1:18">
      <c r="A57" s="541" t="s">
        <v>468</v>
      </c>
      <c r="B57" s="542" t="s">
        <v>235</v>
      </c>
      <c r="C57" s="539"/>
      <c r="D57" s="539"/>
      <c r="E57" s="3">
        <v>1</v>
      </c>
      <c r="F57" s="8">
        <v>2.0699999999999998</v>
      </c>
      <c r="G57" s="8">
        <v>1</v>
      </c>
      <c r="H57" s="8"/>
      <c r="I57" s="8"/>
      <c r="J57" s="372">
        <f>(+F57*G57+H57*I57)*E57</f>
        <v>2.0699999999999998</v>
      </c>
      <c r="K57" s="31"/>
      <c r="L57" s="8"/>
      <c r="M57" s="7"/>
      <c r="N57" s="9" t="str">
        <f>IF(K57=0,"",L57*M57*E57)</f>
        <v/>
      </c>
      <c r="O57" s="20"/>
      <c r="Q57" s="574">
        <f t="shared" si="2"/>
        <v>2.0699999999999998</v>
      </c>
      <c r="R57" s="574">
        <f t="shared" si="3"/>
        <v>0</v>
      </c>
    </row>
    <row r="58" spans="1:18">
      <c r="A58" s="541" t="s">
        <v>468</v>
      </c>
      <c r="B58" s="542" t="s">
        <v>236</v>
      </c>
      <c r="C58" s="539"/>
      <c r="D58" s="539"/>
      <c r="E58" s="3">
        <v>1</v>
      </c>
      <c r="F58" s="8">
        <v>32.43</v>
      </c>
      <c r="G58" s="8">
        <v>1</v>
      </c>
      <c r="H58" s="8"/>
      <c r="I58" s="8"/>
      <c r="J58" s="372">
        <f>(+F58*G58+H58*I58)*E58</f>
        <v>32.43</v>
      </c>
      <c r="K58" s="31"/>
      <c r="L58" s="8"/>
      <c r="M58" s="7"/>
      <c r="N58" s="9" t="str">
        <f>IF(K58=0,"",L58*M58*E58)</f>
        <v/>
      </c>
      <c r="O58" s="20"/>
      <c r="Q58" s="574">
        <f t="shared" si="2"/>
        <v>32.43</v>
      </c>
      <c r="R58" s="574">
        <f t="shared" si="3"/>
        <v>0</v>
      </c>
    </row>
    <row r="59" spans="1:18">
      <c r="A59" s="541" t="s">
        <v>468</v>
      </c>
      <c r="B59" s="542" t="s">
        <v>238</v>
      </c>
      <c r="C59" s="539"/>
      <c r="D59" s="539"/>
      <c r="E59" s="3">
        <v>1</v>
      </c>
      <c r="F59" s="8">
        <v>71.25</v>
      </c>
      <c r="G59" s="8">
        <v>1</v>
      </c>
      <c r="H59" s="8"/>
      <c r="I59" s="8"/>
      <c r="J59" s="372">
        <f>(+F59*G59+H59*I59)*E59</f>
        <v>71.25</v>
      </c>
      <c r="K59" s="31"/>
      <c r="L59" s="8"/>
      <c r="M59" s="7"/>
      <c r="N59" s="9" t="str">
        <f>IF(K59=0,"",L59*M59*E59)</f>
        <v/>
      </c>
      <c r="O59" s="20"/>
      <c r="Q59" s="574">
        <f t="shared" si="2"/>
        <v>71.25</v>
      </c>
      <c r="R59" s="574">
        <f t="shared" si="3"/>
        <v>0</v>
      </c>
    </row>
    <row r="60" spans="1:18">
      <c r="A60" s="628"/>
      <c r="B60" s="629"/>
      <c r="C60" s="630"/>
      <c r="D60" s="630"/>
      <c r="E60" s="3"/>
      <c r="F60" s="623"/>
      <c r="G60" s="623"/>
      <c r="H60" s="623"/>
      <c r="I60" s="623"/>
      <c r="J60" s="631"/>
      <c r="K60" s="632"/>
      <c r="L60" s="623"/>
      <c r="M60" s="625"/>
      <c r="N60" s="626"/>
      <c r="O60" s="20"/>
      <c r="Q60" s="574">
        <f t="shared" si="2"/>
        <v>0</v>
      </c>
      <c r="R60" s="574">
        <f t="shared" si="3"/>
        <v>0</v>
      </c>
    </row>
    <row r="61" spans="1:18">
      <c r="A61" s="541" t="s">
        <v>469</v>
      </c>
      <c r="B61" s="542" t="s">
        <v>233</v>
      </c>
      <c r="C61" s="539"/>
      <c r="D61" s="539"/>
      <c r="E61" s="3">
        <v>1</v>
      </c>
      <c r="F61" s="8">
        <v>0.13</v>
      </c>
      <c r="G61" s="8">
        <v>1</v>
      </c>
      <c r="H61" s="8"/>
      <c r="I61" s="8"/>
      <c r="J61" s="372">
        <f>(+F61*G61+H61*I61)*E61</f>
        <v>0.13</v>
      </c>
      <c r="K61" s="31"/>
      <c r="L61" s="8"/>
      <c r="M61" s="7"/>
      <c r="N61" s="9" t="str">
        <f>IF(K61=0,"",L61*M61*E61)</f>
        <v/>
      </c>
      <c r="O61" s="20"/>
      <c r="Q61" s="574">
        <f t="shared" si="2"/>
        <v>0.13</v>
      </c>
      <c r="R61" s="574">
        <f t="shared" si="3"/>
        <v>0</v>
      </c>
    </row>
    <row r="62" spans="1:18">
      <c r="A62" s="541" t="s">
        <v>469</v>
      </c>
      <c r="B62" s="542" t="s">
        <v>235</v>
      </c>
      <c r="C62" s="539"/>
      <c r="D62" s="539"/>
      <c r="E62" s="3">
        <v>1</v>
      </c>
      <c r="F62" s="8">
        <v>1.55</v>
      </c>
      <c r="G62" s="8">
        <v>1</v>
      </c>
      <c r="H62" s="8"/>
      <c r="I62" s="8"/>
      <c r="J62" s="372">
        <f>(+F62*G62+H62*I62)*E62</f>
        <v>1.55</v>
      </c>
      <c r="K62" s="31"/>
      <c r="L62" s="8"/>
      <c r="M62" s="7"/>
      <c r="N62" s="9" t="str">
        <f>IF(K62=0,"",L62*M62*E62)</f>
        <v/>
      </c>
      <c r="O62" s="20"/>
      <c r="Q62" s="574">
        <f t="shared" si="2"/>
        <v>1.55</v>
      </c>
      <c r="R62" s="574">
        <f t="shared" si="3"/>
        <v>0</v>
      </c>
    </row>
    <row r="63" spans="1:18">
      <c r="A63" s="541" t="s">
        <v>469</v>
      </c>
      <c r="B63" s="542" t="s">
        <v>236</v>
      </c>
      <c r="C63" s="539"/>
      <c r="D63" s="539"/>
      <c r="E63" s="3">
        <v>1</v>
      </c>
      <c r="F63" s="8">
        <v>1.72</v>
      </c>
      <c r="G63" s="8">
        <v>1</v>
      </c>
      <c r="H63" s="8"/>
      <c r="I63" s="8"/>
      <c r="J63" s="372">
        <f>(+F63*G63+H63*I63)*E63</f>
        <v>1.72</v>
      </c>
      <c r="K63" s="31"/>
      <c r="L63" s="8"/>
      <c r="M63" s="7"/>
      <c r="N63" s="9" t="str">
        <f>IF(K63=0,"",L63*M63*E63)</f>
        <v/>
      </c>
      <c r="O63" s="20"/>
      <c r="Q63" s="574">
        <f t="shared" si="2"/>
        <v>1.72</v>
      </c>
      <c r="R63" s="574">
        <f t="shared" si="3"/>
        <v>0</v>
      </c>
    </row>
    <row r="64" spans="1:18">
      <c r="A64" s="541" t="s">
        <v>469</v>
      </c>
      <c r="B64" s="542" t="s">
        <v>238</v>
      </c>
      <c r="C64" s="539"/>
      <c r="D64" s="539"/>
      <c r="E64" s="3">
        <v>1</v>
      </c>
      <c r="F64" s="8">
        <v>3.81</v>
      </c>
      <c r="G64" s="8">
        <v>1</v>
      </c>
      <c r="H64" s="8"/>
      <c r="I64" s="8"/>
      <c r="J64" s="372">
        <f>(+F64*G64+H64*I64)*E64</f>
        <v>3.81</v>
      </c>
      <c r="K64" s="31"/>
      <c r="L64" s="8"/>
      <c r="M64" s="7"/>
      <c r="N64" s="9" t="str">
        <f>IF(K64=0,"",L64*M64*E64)</f>
        <v/>
      </c>
      <c r="O64" s="20"/>
      <c r="Q64" s="574">
        <f t="shared" si="2"/>
        <v>3.81</v>
      </c>
      <c r="R64" s="574">
        <f t="shared" si="3"/>
        <v>0</v>
      </c>
    </row>
    <row r="65" spans="1:18">
      <c r="A65" s="628"/>
      <c r="B65" s="629"/>
      <c r="C65" s="630"/>
      <c r="D65" s="630"/>
      <c r="E65" s="3"/>
      <c r="F65" s="623"/>
      <c r="G65" s="5"/>
      <c r="H65" s="623"/>
      <c r="I65" s="5"/>
      <c r="J65" s="371"/>
      <c r="K65" s="632"/>
      <c r="L65" s="623"/>
      <c r="M65" s="625"/>
      <c r="N65" s="626"/>
      <c r="O65" s="20"/>
      <c r="Q65" s="574">
        <f t="shared" si="2"/>
        <v>0</v>
      </c>
      <c r="R65" s="574">
        <f t="shared" si="3"/>
        <v>0</v>
      </c>
    </row>
    <row r="66" spans="1:18">
      <c r="A66" s="628" t="s">
        <v>467</v>
      </c>
      <c r="B66" s="629" t="s">
        <v>222</v>
      </c>
      <c r="C66" s="630"/>
      <c r="D66" s="630"/>
      <c r="E66" s="3">
        <v>1</v>
      </c>
      <c r="F66" s="623">
        <v>1.72</v>
      </c>
      <c r="G66" s="5">
        <v>1</v>
      </c>
      <c r="H66" s="623"/>
      <c r="I66" s="5"/>
      <c r="J66" s="371">
        <f>(+F66*G66+H66*I66)*E66</f>
        <v>1.72</v>
      </c>
      <c r="K66" s="632"/>
      <c r="L66" s="623"/>
      <c r="M66" s="625"/>
      <c r="N66" s="626" t="str">
        <f>IF(K66=0,"",L66*M66*E66)</f>
        <v/>
      </c>
      <c r="O66" s="20" t="s">
        <v>548</v>
      </c>
      <c r="Q66" s="574">
        <f t="shared" si="2"/>
        <v>1.72</v>
      </c>
      <c r="R66" s="574">
        <f t="shared" si="3"/>
        <v>0</v>
      </c>
    </row>
    <row r="67" spans="1:18">
      <c r="A67" s="535" t="s">
        <v>467</v>
      </c>
      <c r="B67" s="536" t="s">
        <v>233</v>
      </c>
      <c r="C67" s="540"/>
      <c r="D67" s="540"/>
      <c r="E67" s="3">
        <v>1</v>
      </c>
      <c r="F67" s="8">
        <v>1.1499999999999999</v>
      </c>
      <c r="G67" s="5">
        <v>1</v>
      </c>
      <c r="H67" s="8"/>
      <c r="I67" s="5"/>
      <c r="J67" s="371">
        <f t="shared" ref="J67:J71" si="15">(+F67*G67+H67*I67)*E67</f>
        <v>1.1499999999999999</v>
      </c>
      <c r="K67" s="2"/>
      <c r="L67" s="8"/>
      <c r="M67" s="7"/>
      <c r="N67" s="9" t="str">
        <f t="shared" ref="N67:N71" si="16">IF(K67=0,"",L67*M67*E67)</f>
        <v/>
      </c>
      <c r="O67" s="20"/>
      <c r="Q67" s="574">
        <f t="shared" si="2"/>
        <v>1.1499999999999999</v>
      </c>
      <c r="R67" s="574">
        <f t="shared" si="3"/>
        <v>0</v>
      </c>
    </row>
    <row r="68" spans="1:18">
      <c r="A68" s="535" t="s">
        <v>467</v>
      </c>
      <c r="B68" s="536" t="s">
        <v>235</v>
      </c>
      <c r="C68" s="540"/>
      <c r="D68" s="540"/>
      <c r="E68" s="3">
        <v>1</v>
      </c>
      <c r="F68" s="8">
        <v>1.1499999999999999</v>
      </c>
      <c r="G68" s="5">
        <v>1</v>
      </c>
      <c r="H68" s="8"/>
      <c r="I68" s="5"/>
      <c r="J68" s="371">
        <f t="shared" si="15"/>
        <v>1.1499999999999999</v>
      </c>
      <c r="K68" s="2"/>
      <c r="L68" s="8"/>
      <c r="M68" s="7"/>
      <c r="N68" s="9" t="str">
        <f t="shared" si="16"/>
        <v/>
      </c>
      <c r="O68" s="20"/>
      <c r="Q68" s="574">
        <f t="shared" si="2"/>
        <v>1.1499999999999999</v>
      </c>
      <c r="R68" s="574">
        <f t="shared" si="3"/>
        <v>0</v>
      </c>
    </row>
    <row r="69" spans="1:18">
      <c r="A69" s="535" t="s">
        <v>467</v>
      </c>
      <c r="B69" s="536" t="s">
        <v>236</v>
      </c>
      <c r="C69" s="540"/>
      <c r="D69" s="540"/>
      <c r="E69" s="3">
        <v>1</v>
      </c>
      <c r="F69" s="8">
        <v>1.1499999999999999</v>
      </c>
      <c r="G69" s="5">
        <v>1</v>
      </c>
      <c r="H69" s="8"/>
      <c r="I69" s="5"/>
      <c r="J69" s="371">
        <f t="shared" si="15"/>
        <v>1.1499999999999999</v>
      </c>
      <c r="K69" s="2"/>
      <c r="L69" s="8"/>
      <c r="M69" s="7"/>
      <c r="N69" s="9" t="str">
        <f t="shared" si="16"/>
        <v/>
      </c>
      <c r="O69" s="20"/>
      <c r="Q69" s="574">
        <f t="shared" ref="Q69:Q132" si="17">F69*G69*E69</f>
        <v>1.1499999999999999</v>
      </c>
      <c r="R69" s="574">
        <f t="shared" ref="R69:R132" si="18">H69*E69*I69</f>
        <v>0</v>
      </c>
    </row>
    <row r="70" spans="1:18">
      <c r="A70" s="620" t="s">
        <v>467</v>
      </c>
      <c r="B70" s="621" t="s">
        <v>221</v>
      </c>
      <c r="C70" s="622"/>
      <c r="D70" s="622"/>
      <c r="E70" s="701">
        <v>1</v>
      </c>
      <c r="F70" s="623">
        <v>4.58</v>
      </c>
      <c r="G70" s="702">
        <v>1</v>
      </c>
      <c r="H70" s="623"/>
      <c r="I70" s="702"/>
      <c r="J70" s="703">
        <f t="shared" si="15"/>
        <v>4.58</v>
      </c>
      <c r="K70" s="624"/>
      <c r="L70" s="623"/>
      <c r="M70" s="625"/>
      <c r="N70" s="626" t="str">
        <f t="shared" si="16"/>
        <v/>
      </c>
      <c r="O70" s="20" t="s">
        <v>626</v>
      </c>
      <c r="Q70" s="574">
        <f t="shared" si="17"/>
        <v>4.58</v>
      </c>
      <c r="R70" s="574">
        <f t="shared" si="18"/>
        <v>0</v>
      </c>
    </row>
    <row r="71" spans="1:18">
      <c r="A71" s="620" t="s">
        <v>467</v>
      </c>
      <c r="B71" s="621" t="s">
        <v>239</v>
      </c>
      <c r="C71" s="622"/>
      <c r="D71" s="622"/>
      <c r="E71" s="701">
        <v>1</v>
      </c>
      <c r="F71" s="623">
        <v>4.58</v>
      </c>
      <c r="G71" s="702">
        <v>1</v>
      </c>
      <c r="H71" s="623"/>
      <c r="I71" s="702"/>
      <c r="J71" s="703">
        <f t="shared" si="15"/>
        <v>4.58</v>
      </c>
      <c r="K71" s="624"/>
      <c r="L71" s="623"/>
      <c r="M71" s="625"/>
      <c r="N71" s="626" t="str">
        <f t="shared" si="16"/>
        <v/>
      </c>
      <c r="O71" s="20" t="s">
        <v>626</v>
      </c>
      <c r="Q71" s="574">
        <f t="shared" si="17"/>
        <v>4.58</v>
      </c>
      <c r="R71" s="574">
        <f t="shared" si="18"/>
        <v>0</v>
      </c>
    </row>
    <row r="72" spans="1:18">
      <c r="A72" s="620"/>
      <c r="B72" s="621"/>
      <c r="C72" s="622"/>
      <c r="D72" s="622"/>
      <c r="E72" s="3"/>
      <c r="F72" s="623"/>
      <c r="G72" s="5"/>
      <c r="H72" s="623"/>
      <c r="I72" s="5"/>
      <c r="J72" s="371"/>
      <c r="K72" s="624"/>
      <c r="L72" s="623"/>
      <c r="M72" s="625"/>
      <c r="N72" s="626"/>
      <c r="O72" s="20"/>
      <c r="Q72" s="574">
        <f t="shared" si="17"/>
        <v>0</v>
      </c>
      <c r="R72" s="574">
        <f t="shared" si="18"/>
        <v>0</v>
      </c>
    </row>
    <row r="73" spans="1:18">
      <c r="A73" s="535" t="s">
        <v>288</v>
      </c>
      <c r="B73" s="536" t="s">
        <v>222</v>
      </c>
      <c r="C73" s="540"/>
      <c r="D73" s="540"/>
      <c r="E73" s="3">
        <v>1</v>
      </c>
      <c r="F73" s="8">
        <v>2.2799999999999998</v>
      </c>
      <c r="G73" s="5">
        <v>1</v>
      </c>
      <c r="H73" s="8"/>
      <c r="I73" s="5"/>
      <c r="J73" s="371">
        <f t="shared" ref="J73" si="19">(+F73*G73+H73*I73)*E73</f>
        <v>2.2799999999999998</v>
      </c>
      <c r="K73" s="2"/>
      <c r="L73" s="8"/>
      <c r="M73" s="7"/>
      <c r="N73" s="9" t="str">
        <f t="shared" ref="N73" si="20">IF(K73=0,"",L73*M73*E73)</f>
        <v/>
      </c>
      <c r="O73" s="20"/>
      <c r="Q73" s="574">
        <f t="shared" si="17"/>
        <v>2.2799999999999998</v>
      </c>
      <c r="R73" s="574">
        <f t="shared" si="18"/>
        <v>0</v>
      </c>
    </row>
    <row r="74" spans="1:18">
      <c r="A74" s="535" t="s">
        <v>288</v>
      </c>
      <c r="B74" s="536" t="s">
        <v>225</v>
      </c>
      <c r="C74" s="540"/>
      <c r="D74" s="540"/>
      <c r="E74" s="3">
        <v>1</v>
      </c>
      <c r="F74" s="8">
        <v>3.8</v>
      </c>
      <c r="G74" s="5">
        <v>1</v>
      </c>
      <c r="H74" s="8"/>
      <c r="I74" s="5"/>
      <c r="J74" s="371">
        <f>(+F74*G74+H74*I74)*E74</f>
        <v>3.8</v>
      </c>
      <c r="K74" s="2"/>
      <c r="L74" s="8"/>
      <c r="M74" s="7"/>
      <c r="N74" s="9" t="str">
        <f>IF(K74=0,"",L74*M74*E74)</f>
        <v/>
      </c>
      <c r="O74" s="20"/>
      <c r="Q74" s="574">
        <f t="shared" si="17"/>
        <v>3.8</v>
      </c>
      <c r="R74" s="574">
        <f t="shared" si="18"/>
        <v>0</v>
      </c>
    </row>
    <row r="75" spans="1:18">
      <c r="A75" s="535" t="s">
        <v>288</v>
      </c>
      <c r="B75" s="536" t="s">
        <v>227</v>
      </c>
      <c r="C75" s="540"/>
      <c r="D75" s="540"/>
      <c r="E75" s="3">
        <v>1</v>
      </c>
      <c r="F75" s="8">
        <v>3.8</v>
      </c>
      <c r="G75" s="5">
        <v>1</v>
      </c>
      <c r="H75" s="8"/>
      <c r="I75" s="5"/>
      <c r="J75" s="371">
        <f t="shared" ref="J75:J81" si="21">(+F75*G75+H75*I75)*E75</f>
        <v>3.8</v>
      </c>
      <c r="K75" s="2"/>
      <c r="L75" s="8"/>
      <c r="M75" s="7"/>
      <c r="N75" s="9" t="str">
        <f t="shared" ref="N75:N81" si="22">IF(K75=0,"",L75*M75*E75)</f>
        <v/>
      </c>
      <c r="O75" s="20"/>
      <c r="Q75" s="574">
        <f t="shared" si="17"/>
        <v>3.8</v>
      </c>
      <c r="R75" s="574">
        <f t="shared" si="18"/>
        <v>0</v>
      </c>
    </row>
    <row r="76" spans="1:18">
      <c r="A76" s="535" t="s">
        <v>288</v>
      </c>
      <c r="B76" s="536" t="s">
        <v>229</v>
      </c>
      <c r="C76" s="540"/>
      <c r="D76" s="540"/>
      <c r="E76" s="3">
        <v>1</v>
      </c>
      <c r="F76" s="8">
        <v>4.18</v>
      </c>
      <c r="G76" s="5">
        <v>1</v>
      </c>
      <c r="H76" s="8"/>
      <c r="I76" s="5"/>
      <c r="J76" s="371">
        <f t="shared" si="21"/>
        <v>4.18</v>
      </c>
      <c r="K76" s="2"/>
      <c r="L76" s="8"/>
      <c r="M76" s="7"/>
      <c r="N76" s="9" t="str">
        <f t="shared" si="22"/>
        <v/>
      </c>
      <c r="O76" s="20"/>
      <c r="Q76" s="574">
        <f t="shared" si="17"/>
        <v>4.18</v>
      </c>
      <c r="R76" s="574">
        <f t="shared" si="18"/>
        <v>0</v>
      </c>
    </row>
    <row r="77" spans="1:18">
      <c r="A77" s="535" t="s">
        <v>288</v>
      </c>
      <c r="B77" s="536" t="s">
        <v>231</v>
      </c>
      <c r="C77" s="540"/>
      <c r="D77" s="540"/>
      <c r="E77" s="3">
        <v>1</v>
      </c>
      <c r="F77" s="8">
        <v>3.8</v>
      </c>
      <c r="G77" s="5">
        <v>1</v>
      </c>
      <c r="H77" s="8"/>
      <c r="I77" s="5"/>
      <c r="J77" s="371">
        <f t="shared" si="21"/>
        <v>3.8</v>
      </c>
      <c r="K77" s="2"/>
      <c r="L77" s="8"/>
      <c r="M77" s="7"/>
      <c r="N77" s="9" t="str">
        <f t="shared" si="22"/>
        <v/>
      </c>
      <c r="O77" s="20"/>
      <c r="Q77" s="574">
        <f t="shared" si="17"/>
        <v>3.8</v>
      </c>
      <c r="R77" s="574">
        <f t="shared" si="18"/>
        <v>0</v>
      </c>
    </row>
    <row r="78" spans="1:18">
      <c r="A78" s="535" t="s">
        <v>288</v>
      </c>
      <c r="B78" s="536" t="s">
        <v>233</v>
      </c>
      <c r="C78" s="540"/>
      <c r="D78" s="540"/>
      <c r="E78" s="3">
        <v>1</v>
      </c>
      <c r="F78" s="8">
        <v>3.8</v>
      </c>
      <c r="G78" s="5">
        <v>1</v>
      </c>
      <c r="H78" s="8"/>
      <c r="I78" s="5"/>
      <c r="J78" s="371">
        <f t="shared" si="21"/>
        <v>3.8</v>
      </c>
      <c r="K78" s="2"/>
      <c r="L78" s="8"/>
      <c r="M78" s="7"/>
      <c r="N78" s="9" t="str">
        <f t="shared" si="22"/>
        <v/>
      </c>
      <c r="O78" s="20"/>
      <c r="Q78" s="574">
        <f t="shared" si="17"/>
        <v>3.8</v>
      </c>
      <c r="R78" s="574">
        <f t="shared" si="18"/>
        <v>0</v>
      </c>
    </row>
    <row r="79" spans="1:18">
      <c r="A79" s="535" t="s">
        <v>288</v>
      </c>
      <c r="B79" s="536" t="s">
        <v>235</v>
      </c>
      <c r="C79" s="540"/>
      <c r="D79" s="540"/>
      <c r="E79" s="3">
        <v>1</v>
      </c>
      <c r="F79" s="8">
        <v>2.2799999999999998</v>
      </c>
      <c r="G79" s="5">
        <v>1</v>
      </c>
      <c r="H79" s="8"/>
      <c r="I79" s="5"/>
      <c r="J79" s="371">
        <f t="shared" si="21"/>
        <v>2.2799999999999998</v>
      </c>
      <c r="K79" s="2"/>
      <c r="L79" s="8"/>
      <c r="M79" s="7"/>
      <c r="N79" s="9" t="str">
        <f t="shared" si="22"/>
        <v/>
      </c>
      <c r="O79" s="20"/>
      <c r="Q79" s="574">
        <f t="shared" si="17"/>
        <v>2.2799999999999998</v>
      </c>
      <c r="R79" s="574">
        <f t="shared" si="18"/>
        <v>0</v>
      </c>
    </row>
    <row r="80" spans="1:18">
      <c r="A80" s="535" t="s">
        <v>288</v>
      </c>
      <c r="B80" s="536" t="s">
        <v>236</v>
      </c>
      <c r="C80" s="540"/>
      <c r="D80" s="540"/>
      <c r="E80" s="3">
        <v>1</v>
      </c>
      <c r="F80" s="8">
        <v>0.76</v>
      </c>
      <c r="G80" s="5">
        <v>1</v>
      </c>
      <c r="H80" s="8"/>
      <c r="I80" s="5"/>
      <c r="J80" s="371">
        <f t="shared" si="21"/>
        <v>0.76</v>
      </c>
      <c r="K80" s="2"/>
      <c r="L80" s="8"/>
      <c r="M80" s="7"/>
      <c r="N80" s="9" t="str">
        <f t="shared" si="22"/>
        <v/>
      </c>
      <c r="O80" s="20"/>
      <c r="Q80" s="574">
        <f t="shared" si="17"/>
        <v>0.76</v>
      </c>
      <c r="R80" s="574">
        <f t="shared" si="18"/>
        <v>0</v>
      </c>
    </row>
    <row r="81" spans="1:18">
      <c r="A81" s="535" t="s">
        <v>288</v>
      </c>
      <c r="B81" s="536" t="s">
        <v>238</v>
      </c>
      <c r="C81" s="540"/>
      <c r="D81" s="540"/>
      <c r="E81" s="3">
        <v>1</v>
      </c>
      <c r="F81" s="8">
        <v>0.38</v>
      </c>
      <c r="G81" s="5">
        <v>1</v>
      </c>
      <c r="H81" s="8"/>
      <c r="I81" s="5"/>
      <c r="J81" s="371">
        <f t="shared" si="21"/>
        <v>0.38</v>
      </c>
      <c r="K81" s="2"/>
      <c r="L81" s="8"/>
      <c r="M81" s="7"/>
      <c r="N81" s="9" t="str">
        <f t="shared" si="22"/>
        <v/>
      </c>
      <c r="O81" s="20"/>
      <c r="Q81" s="574">
        <f t="shared" si="17"/>
        <v>0.38</v>
      </c>
      <c r="R81" s="574">
        <f t="shared" si="18"/>
        <v>0</v>
      </c>
    </row>
    <row r="82" spans="1:18">
      <c r="A82" s="620"/>
      <c r="B82" s="621"/>
      <c r="C82" s="622"/>
      <c r="D82" s="622"/>
      <c r="E82" s="3"/>
      <c r="F82" s="623"/>
      <c r="G82" s="5"/>
      <c r="H82" s="623"/>
      <c r="I82" s="5"/>
      <c r="J82" s="371"/>
      <c r="K82" s="624"/>
      <c r="L82" s="623"/>
      <c r="M82" s="625"/>
      <c r="N82" s="626"/>
      <c r="O82" s="20"/>
      <c r="Q82" s="574">
        <f t="shared" si="17"/>
        <v>0</v>
      </c>
      <c r="R82" s="574">
        <f t="shared" si="18"/>
        <v>0</v>
      </c>
    </row>
    <row r="83" spans="1:18">
      <c r="A83" s="535" t="s">
        <v>623</v>
      </c>
      <c r="B83" s="536" t="s">
        <v>239</v>
      </c>
      <c r="C83" s="540"/>
      <c r="D83" s="540"/>
      <c r="E83" s="3">
        <v>1</v>
      </c>
      <c r="F83" s="8">
        <v>27.48</v>
      </c>
      <c r="G83" s="5">
        <v>1</v>
      </c>
      <c r="H83" s="8"/>
      <c r="I83" s="5"/>
      <c r="J83" s="371">
        <f>(+F83*G83+H83*I83)*E83</f>
        <v>27.48</v>
      </c>
      <c r="K83" s="2"/>
      <c r="L83" s="8"/>
      <c r="M83" s="7"/>
      <c r="N83" s="9" t="str">
        <f>IF(K83=0,"",L83*M83*E83)</f>
        <v/>
      </c>
      <c r="O83" s="20"/>
      <c r="Q83" s="574">
        <f t="shared" si="17"/>
        <v>27.48</v>
      </c>
      <c r="R83" s="574">
        <f t="shared" si="18"/>
        <v>0</v>
      </c>
    </row>
    <row r="84" spans="1:18">
      <c r="A84" s="620"/>
      <c r="B84" s="621"/>
      <c r="C84" s="622"/>
      <c r="D84" s="622"/>
      <c r="E84" s="3"/>
      <c r="F84" s="623"/>
      <c r="G84" s="5"/>
      <c r="H84" s="623"/>
      <c r="I84" s="5"/>
      <c r="J84" s="371"/>
      <c r="K84" s="624"/>
      <c r="L84" s="623"/>
      <c r="M84" s="625"/>
      <c r="N84" s="626"/>
      <c r="O84" s="20"/>
      <c r="Q84" s="574">
        <f t="shared" si="17"/>
        <v>0</v>
      </c>
      <c r="R84" s="574">
        <f t="shared" si="18"/>
        <v>0</v>
      </c>
    </row>
    <row r="85" spans="1:18">
      <c r="A85" s="535" t="s">
        <v>159</v>
      </c>
      <c r="B85" s="536" t="s">
        <v>68</v>
      </c>
      <c r="C85" s="540"/>
      <c r="D85" s="540"/>
      <c r="E85" s="3">
        <v>1</v>
      </c>
      <c r="F85" s="8">
        <v>13</v>
      </c>
      <c r="G85" s="5">
        <v>1</v>
      </c>
      <c r="H85" s="8"/>
      <c r="I85" s="5"/>
      <c r="J85" s="371">
        <f>(+F85*G85+H85*I85)*E85</f>
        <v>13</v>
      </c>
      <c r="K85" s="2"/>
      <c r="L85" s="8"/>
      <c r="M85" s="7"/>
      <c r="N85" s="9" t="str">
        <f>IF(K85=0,"",L85*M85*E85)</f>
        <v/>
      </c>
      <c r="O85" s="20" t="s">
        <v>530</v>
      </c>
      <c r="Q85" s="574">
        <f t="shared" si="17"/>
        <v>13</v>
      </c>
      <c r="R85" s="574">
        <f t="shared" si="18"/>
        <v>0</v>
      </c>
    </row>
    <row r="86" spans="1:18">
      <c r="A86" s="620"/>
      <c r="B86" s="621"/>
      <c r="C86" s="622"/>
      <c r="D86" s="622"/>
      <c r="E86" s="3"/>
      <c r="F86" s="623"/>
      <c r="G86" s="5"/>
      <c r="H86" s="623"/>
      <c r="I86" s="5"/>
      <c r="J86" s="371"/>
      <c r="K86" s="624"/>
      <c r="L86" s="623"/>
      <c r="M86" s="625"/>
      <c r="N86" s="626"/>
      <c r="O86" s="20"/>
      <c r="Q86" s="574">
        <f t="shared" si="17"/>
        <v>0</v>
      </c>
      <c r="R86" s="574">
        <f t="shared" si="18"/>
        <v>0</v>
      </c>
    </row>
    <row r="87" spans="1:18">
      <c r="A87" s="541" t="s">
        <v>287</v>
      </c>
      <c r="B87" s="542" t="s">
        <v>225</v>
      </c>
      <c r="C87" s="539"/>
      <c r="D87" s="539"/>
      <c r="E87" s="3">
        <v>1</v>
      </c>
      <c r="F87" s="8">
        <v>7.25</v>
      </c>
      <c r="G87" s="8">
        <v>1</v>
      </c>
      <c r="H87" s="8"/>
      <c r="I87" s="8"/>
      <c r="J87" s="372">
        <f t="shared" ref="J87:J98" si="23">(+F87*G87+H87*I87)*E87</f>
        <v>7.25</v>
      </c>
      <c r="K87" s="31"/>
      <c r="L87" s="8"/>
      <c r="M87" s="7"/>
      <c r="N87" s="9" t="str">
        <f t="shared" ref="N87:N98" si="24">IF(K87=0,"",L87*M87*E87)</f>
        <v/>
      </c>
      <c r="O87" s="20" t="s">
        <v>544</v>
      </c>
      <c r="Q87" s="574">
        <f t="shared" si="17"/>
        <v>7.25</v>
      </c>
      <c r="R87" s="574">
        <f t="shared" si="18"/>
        <v>0</v>
      </c>
    </row>
    <row r="88" spans="1:18">
      <c r="A88" s="541" t="s">
        <v>287</v>
      </c>
      <c r="B88" s="542" t="s">
        <v>225</v>
      </c>
      <c r="C88" s="539"/>
      <c r="D88" s="539"/>
      <c r="E88" s="3">
        <v>1</v>
      </c>
      <c r="F88" s="8">
        <v>0.45</v>
      </c>
      <c r="G88" s="8">
        <v>1</v>
      </c>
      <c r="H88" s="8"/>
      <c r="I88" s="8"/>
      <c r="J88" s="372">
        <f t="shared" si="23"/>
        <v>0.45</v>
      </c>
      <c r="K88" s="31"/>
      <c r="L88" s="8"/>
      <c r="M88" s="7"/>
      <c r="N88" s="9" t="str">
        <f t="shared" si="24"/>
        <v/>
      </c>
      <c r="O88" s="20" t="s">
        <v>477</v>
      </c>
      <c r="Q88" s="574">
        <f t="shared" si="17"/>
        <v>0.45</v>
      </c>
      <c r="R88" s="574">
        <f t="shared" si="18"/>
        <v>0</v>
      </c>
    </row>
    <row r="89" spans="1:18">
      <c r="A89" s="541" t="s">
        <v>287</v>
      </c>
      <c r="B89" s="542" t="s">
        <v>227</v>
      </c>
      <c r="C89" s="539"/>
      <c r="D89" s="539"/>
      <c r="E89" s="3">
        <v>1</v>
      </c>
      <c r="F89" s="8">
        <v>1.17</v>
      </c>
      <c r="G89" s="8">
        <v>1</v>
      </c>
      <c r="H89" s="8"/>
      <c r="I89" s="8"/>
      <c r="J89" s="372">
        <f t="shared" si="23"/>
        <v>1.17</v>
      </c>
      <c r="K89" s="31"/>
      <c r="L89" s="8"/>
      <c r="M89" s="7"/>
      <c r="N89" s="9" t="str">
        <f t="shared" si="24"/>
        <v/>
      </c>
      <c r="O89" s="20" t="s">
        <v>547</v>
      </c>
      <c r="Q89" s="574">
        <f t="shared" si="17"/>
        <v>1.17</v>
      </c>
      <c r="R89" s="574">
        <f t="shared" si="18"/>
        <v>0</v>
      </c>
    </row>
    <row r="90" spans="1:18">
      <c r="A90" s="541" t="s">
        <v>287</v>
      </c>
      <c r="B90" s="542" t="s">
        <v>227</v>
      </c>
      <c r="C90" s="539"/>
      <c r="D90" s="539"/>
      <c r="E90" s="3">
        <v>1</v>
      </c>
      <c r="F90" s="8">
        <v>0.75</v>
      </c>
      <c r="G90" s="8">
        <v>1</v>
      </c>
      <c r="H90" s="8"/>
      <c r="I90" s="8"/>
      <c r="J90" s="372">
        <f t="shared" ref="J90" si="25">(+F90*G90+H90*I90)*E90</f>
        <v>0.75</v>
      </c>
      <c r="K90" s="31"/>
      <c r="L90" s="8"/>
      <c r="M90" s="7"/>
      <c r="N90" s="9" t="str">
        <f t="shared" ref="N90" si="26">IF(K90=0,"",L90*M90*E90)</f>
        <v/>
      </c>
      <c r="O90" s="20" t="s">
        <v>546</v>
      </c>
      <c r="Q90" s="574">
        <f t="shared" si="17"/>
        <v>0.75</v>
      </c>
      <c r="R90" s="574">
        <f t="shared" si="18"/>
        <v>0</v>
      </c>
    </row>
    <row r="91" spans="1:18">
      <c r="A91" s="541" t="s">
        <v>287</v>
      </c>
      <c r="B91" s="542" t="s">
        <v>229</v>
      </c>
      <c r="C91" s="539"/>
      <c r="D91" s="539"/>
      <c r="E91" s="3">
        <v>1</v>
      </c>
      <c r="F91" s="8">
        <v>1.83</v>
      </c>
      <c r="G91" s="8">
        <v>1</v>
      </c>
      <c r="H91" s="8"/>
      <c r="I91" s="8"/>
      <c r="J91" s="372">
        <f>(+F91*G91+H91*I91)*E91</f>
        <v>1.83</v>
      </c>
      <c r="K91" s="31"/>
      <c r="L91" s="8"/>
      <c r="M91" s="7"/>
      <c r="N91" s="9" t="str">
        <f>IF(K91=0,"",L91*M91*E91)</f>
        <v/>
      </c>
      <c r="O91" s="20" t="s">
        <v>590</v>
      </c>
      <c r="Q91" s="574">
        <f t="shared" si="17"/>
        <v>1.83</v>
      </c>
      <c r="R91" s="574">
        <f t="shared" si="18"/>
        <v>0</v>
      </c>
    </row>
    <row r="92" spans="1:18">
      <c r="A92" s="541" t="s">
        <v>287</v>
      </c>
      <c r="B92" s="542" t="s">
        <v>229</v>
      </c>
      <c r="C92" s="539"/>
      <c r="D92" s="539"/>
      <c r="E92" s="3">
        <v>1</v>
      </c>
      <c r="F92" s="8">
        <v>0.75</v>
      </c>
      <c r="G92" s="8">
        <v>1</v>
      </c>
      <c r="H92" s="8"/>
      <c r="I92" s="8"/>
      <c r="J92" s="372">
        <f t="shared" ref="J92" si="27">(+F92*G92+H92*I92)*E92</f>
        <v>0.75</v>
      </c>
      <c r="K92" s="31"/>
      <c r="L92" s="8"/>
      <c r="M92" s="7"/>
      <c r="N92" s="9" t="str">
        <f t="shared" ref="N92" si="28">IF(K92=0,"",L92*M92*E92)</f>
        <v/>
      </c>
      <c r="O92" s="20" t="s">
        <v>546</v>
      </c>
      <c r="Q92" s="574">
        <f t="shared" si="17"/>
        <v>0.75</v>
      </c>
      <c r="R92" s="574">
        <f t="shared" si="18"/>
        <v>0</v>
      </c>
    </row>
    <row r="93" spans="1:18">
      <c r="A93" s="541" t="s">
        <v>287</v>
      </c>
      <c r="B93" s="542" t="s">
        <v>231</v>
      </c>
      <c r="C93" s="539"/>
      <c r="D93" s="539"/>
      <c r="E93" s="3">
        <v>1</v>
      </c>
      <c r="F93" s="8">
        <v>0.5</v>
      </c>
      <c r="G93" s="8">
        <v>1</v>
      </c>
      <c r="H93" s="8"/>
      <c r="I93" s="8"/>
      <c r="J93" s="372">
        <f t="shared" si="23"/>
        <v>0.5</v>
      </c>
      <c r="K93" s="31"/>
      <c r="L93" s="8"/>
      <c r="M93" s="7"/>
      <c r="N93" s="9" t="str">
        <f t="shared" si="24"/>
        <v/>
      </c>
      <c r="O93" s="20" t="s">
        <v>547</v>
      </c>
      <c r="Q93" s="574">
        <f t="shared" si="17"/>
        <v>0.5</v>
      </c>
      <c r="R93" s="574">
        <f t="shared" si="18"/>
        <v>0</v>
      </c>
    </row>
    <row r="94" spans="1:18">
      <c r="A94" s="541" t="s">
        <v>287</v>
      </c>
      <c r="B94" s="542" t="s">
        <v>231</v>
      </c>
      <c r="C94" s="539"/>
      <c r="D94" s="539"/>
      <c r="E94" s="3">
        <v>1</v>
      </c>
      <c r="F94" s="8">
        <v>0.75</v>
      </c>
      <c r="G94" s="8">
        <v>1</v>
      </c>
      <c r="H94" s="8"/>
      <c r="I94" s="8"/>
      <c r="J94" s="372">
        <f t="shared" si="23"/>
        <v>0.75</v>
      </c>
      <c r="K94" s="31"/>
      <c r="L94" s="8"/>
      <c r="M94" s="7"/>
      <c r="N94" s="9" t="str">
        <f t="shared" si="24"/>
        <v/>
      </c>
      <c r="O94" s="20" t="s">
        <v>546</v>
      </c>
      <c r="Q94" s="574">
        <f t="shared" si="17"/>
        <v>0.75</v>
      </c>
      <c r="R94" s="574">
        <f t="shared" si="18"/>
        <v>0</v>
      </c>
    </row>
    <row r="95" spans="1:18">
      <c r="A95" s="628" t="s">
        <v>287</v>
      </c>
      <c r="B95" s="629" t="s">
        <v>233</v>
      </c>
      <c r="C95" s="630"/>
      <c r="D95" s="630"/>
      <c r="E95" s="3">
        <v>1</v>
      </c>
      <c r="F95" s="8">
        <v>0.75</v>
      </c>
      <c r="G95" s="8">
        <v>1</v>
      </c>
      <c r="H95" s="8"/>
      <c r="I95" s="8"/>
      <c r="J95" s="372">
        <f t="shared" ref="J95" si="29">(+F95*G95+H95*I95)*E95</f>
        <v>0.75</v>
      </c>
      <c r="K95" s="31"/>
      <c r="L95" s="8"/>
      <c r="M95" s="7"/>
      <c r="N95" s="9" t="str">
        <f t="shared" ref="N95" si="30">IF(K95=0,"",L95*M95*E95)</f>
        <v/>
      </c>
      <c r="O95" s="20" t="s">
        <v>546</v>
      </c>
      <c r="Q95" s="574">
        <f t="shared" si="17"/>
        <v>0.75</v>
      </c>
      <c r="R95" s="574">
        <f t="shared" si="18"/>
        <v>0</v>
      </c>
    </row>
    <row r="96" spans="1:18">
      <c r="A96" s="541" t="s">
        <v>287</v>
      </c>
      <c r="B96" s="542" t="s">
        <v>235</v>
      </c>
      <c r="C96" s="539"/>
      <c r="D96" s="539"/>
      <c r="E96" s="3">
        <v>1</v>
      </c>
      <c r="F96" s="8">
        <v>20.61</v>
      </c>
      <c r="G96" s="8">
        <v>1</v>
      </c>
      <c r="H96" s="8"/>
      <c r="I96" s="8"/>
      <c r="J96" s="372">
        <f>(+F96*G96+H96*I96)*E96</f>
        <v>20.61</v>
      </c>
      <c r="K96" s="31"/>
      <c r="L96" s="8"/>
      <c r="M96" s="7"/>
      <c r="N96" s="9" t="str">
        <f>IF(K96=0,"",L96*M96*E96)</f>
        <v/>
      </c>
      <c r="O96" s="20" t="s">
        <v>543</v>
      </c>
      <c r="Q96" s="574">
        <f t="shared" si="17"/>
        <v>20.61</v>
      </c>
      <c r="R96" s="574">
        <f t="shared" si="18"/>
        <v>0</v>
      </c>
    </row>
    <row r="97" spans="1:18">
      <c r="A97" s="541" t="s">
        <v>287</v>
      </c>
      <c r="B97" s="542" t="s">
        <v>235</v>
      </c>
      <c r="C97" s="539"/>
      <c r="D97" s="539"/>
      <c r="E97" s="3">
        <v>1</v>
      </c>
      <c r="F97" s="8">
        <v>4</v>
      </c>
      <c r="G97" s="8">
        <v>1</v>
      </c>
      <c r="H97" s="8"/>
      <c r="I97" s="8"/>
      <c r="J97" s="372">
        <f>(+F97*G97+H97*I97)*E97</f>
        <v>4</v>
      </c>
      <c r="K97" s="31"/>
      <c r="L97" s="8"/>
      <c r="M97" s="7"/>
      <c r="N97" s="9" t="str">
        <f>IF(K97=0,"",L97*M97*E97)</f>
        <v/>
      </c>
      <c r="O97" s="20" t="s">
        <v>532</v>
      </c>
      <c r="Q97" s="574">
        <f t="shared" si="17"/>
        <v>4</v>
      </c>
      <c r="R97" s="574">
        <f t="shared" si="18"/>
        <v>0</v>
      </c>
    </row>
    <row r="98" spans="1:18">
      <c r="A98" s="541" t="s">
        <v>287</v>
      </c>
      <c r="B98" s="542" t="s">
        <v>236</v>
      </c>
      <c r="C98" s="539"/>
      <c r="D98" s="539"/>
      <c r="E98" s="3">
        <v>1</v>
      </c>
      <c r="F98" s="8">
        <v>0.5</v>
      </c>
      <c r="G98" s="8">
        <v>1</v>
      </c>
      <c r="H98" s="8"/>
      <c r="I98" s="8"/>
      <c r="J98" s="372">
        <f t="shared" si="23"/>
        <v>0.5</v>
      </c>
      <c r="K98" s="31"/>
      <c r="L98" s="8"/>
      <c r="M98" s="7"/>
      <c r="N98" s="9" t="str">
        <f t="shared" si="24"/>
        <v/>
      </c>
      <c r="O98" s="20"/>
      <c r="Q98" s="574">
        <f t="shared" si="17"/>
        <v>0.5</v>
      </c>
      <c r="R98" s="574">
        <f t="shared" si="18"/>
        <v>0</v>
      </c>
    </row>
    <row r="99" spans="1:18">
      <c r="A99" s="628" t="s">
        <v>287</v>
      </c>
      <c r="B99" s="629" t="s">
        <v>238</v>
      </c>
      <c r="C99" s="630"/>
      <c r="D99" s="630"/>
      <c r="E99" s="3">
        <v>1</v>
      </c>
      <c r="F99" s="8">
        <v>0.5</v>
      </c>
      <c r="G99" s="8">
        <v>1</v>
      </c>
      <c r="H99" s="8"/>
      <c r="I99" s="8"/>
      <c r="J99" s="372">
        <f t="shared" ref="J99" si="31">(+F99*G99+H99*I99)*E99</f>
        <v>0.5</v>
      </c>
      <c r="K99" s="632"/>
      <c r="L99" s="623"/>
      <c r="M99" s="625"/>
      <c r="N99" s="626"/>
      <c r="O99" s="20"/>
      <c r="Q99" s="574">
        <f t="shared" ref="Q99" si="32">F99*G99*E99</f>
        <v>0.5</v>
      </c>
      <c r="R99" s="574">
        <f t="shared" ref="R99" si="33">H99*E99*I99</f>
        <v>0</v>
      </c>
    </row>
    <row r="100" spans="1:18">
      <c r="A100" s="620"/>
      <c r="B100" s="621"/>
      <c r="C100" s="622"/>
      <c r="D100" s="622"/>
      <c r="E100" s="3"/>
      <c r="F100" s="623"/>
      <c r="G100" s="5"/>
      <c r="H100" s="623"/>
      <c r="I100" s="5"/>
      <c r="J100" s="371"/>
      <c r="K100" s="624"/>
      <c r="L100" s="623"/>
      <c r="M100" s="625"/>
      <c r="N100" s="626"/>
      <c r="O100" s="20"/>
      <c r="Q100" s="574">
        <f t="shared" si="17"/>
        <v>0</v>
      </c>
      <c r="R100" s="574">
        <f t="shared" si="18"/>
        <v>0</v>
      </c>
    </row>
    <row r="101" spans="1:18">
      <c r="A101" s="535" t="s">
        <v>465</v>
      </c>
      <c r="B101" s="536" t="s">
        <v>239</v>
      </c>
      <c r="C101" s="540"/>
      <c r="D101" s="540"/>
      <c r="E101" s="3">
        <v>1</v>
      </c>
      <c r="F101" s="8">
        <v>1</v>
      </c>
      <c r="G101" s="5">
        <v>1</v>
      </c>
      <c r="H101" s="8"/>
      <c r="I101" s="5"/>
      <c r="J101" s="371">
        <f t="shared" ref="J101" si="34">(+F101*G101+H101*I101)*E101</f>
        <v>1</v>
      </c>
      <c r="K101" s="2"/>
      <c r="L101" s="8"/>
      <c r="M101" s="7"/>
      <c r="N101" s="9" t="str">
        <f t="shared" ref="N101" si="35">IF(K101=0,"",L101*M101*E101)</f>
        <v/>
      </c>
      <c r="O101" s="20"/>
      <c r="Q101" s="574">
        <f t="shared" si="17"/>
        <v>1</v>
      </c>
      <c r="R101" s="574">
        <f t="shared" si="18"/>
        <v>0</v>
      </c>
    </row>
    <row r="102" spans="1:18">
      <c r="A102" s="620"/>
      <c r="B102" s="621"/>
      <c r="C102" s="622"/>
      <c r="D102" s="622"/>
      <c r="E102" s="3"/>
      <c r="F102" s="623"/>
      <c r="G102" s="5"/>
      <c r="H102" s="623"/>
      <c r="I102" s="5"/>
      <c r="J102" s="371"/>
      <c r="K102" s="624"/>
      <c r="L102" s="623"/>
      <c r="M102" s="625"/>
      <c r="N102" s="626"/>
      <c r="O102" s="20"/>
      <c r="Q102" s="574">
        <f t="shared" si="17"/>
        <v>0</v>
      </c>
      <c r="R102" s="574">
        <f t="shared" si="18"/>
        <v>0</v>
      </c>
    </row>
    <row r="103" spans="1:18">
      <c r="A103" s="535" t="s">
        <v>289</v>
      </c>
      <c r="B103" s="536" t="s">
        <v>239</v>
      </c>
      <c r="C103" s="540"/>
      <c r="D103" s="540"/>
      <c r="E103" s="3">
        <v>1</v>
      </c>
      <c r="F103" s="8">
        <v>8</v>
      </c>
      <c r="G103" s="5">
        <v>1</v>
      </c>
      <c r="H103" s="8"/>
      <c r="I103" s="5"/>
      <c r="J103" s="371">
        <f>(+F103*G103+H103*I103)*E103</f>
        <v>8</v>
      </c>
      <c r="K103" s="2"/>
      <c r="L103" s="8"/>
      <c r="M103" s="7"/>
      <c r="N103" s="9" t="str">
        <f>IF(K103=0,"",L103*M103*E103)</f>
        <v/>
      </c>
      <c r="O103" s="20" t="s">
        <v>534</v>
      </c>
      <c r="Q103" s="574">
        <f t="shared" si="17"/>
        <v>8</v>
      </c>
      <c r="R103" s="574">
        <f t="shared" si="18"/>
        <v>0</v>
      </c>
    </row>
    <row r="104" spans="1:18">
      <c r="A104" s="535" t="s">
        <v>289</v>
      </c>
      <c r="B104" s="536" t="s">
        <v>245</v>
      </c>
      <c r="C104" s="540"/>
      <c r="D104" s="540"/>
      <c r="E104" s="3">
        <v>1</v>
      </c>
      <c r="F104" s="8">
        <v>1.1499999999999999</v>
      </c>
      <c r="G104" s="5">
        <v>1</v>
      </c>
      <c r="H104" s="8"/>
      <c r="I104" s="5"/>
      <c r="J104" s="371">
        <f>(+F104*G104+H104*I104)*E104</f>
        <v>1.1499999999999999</v>
      </c>
      <c r="K104" s="2"/>
      <c r="L104" s="8"/>
      <c r="M104" s="7"/>
      <c r="N104" s="9" t="str">
        <f>IF(K104=0,"",L104*M104*E104)</f>
        <v/>
      </c>
      <c r="O104" s="20" t="s">
        <v>533</v>
      </c>
      <c r="Q104" s="574">
        <f t="shared" si="17"/>
        <v>1.1499999999999999</v>
      </c>
      <c r="R104" s="574">
        <f t="shared" si="18"/>
        <v>0</v>
      </c>
    </row>
    <row r="105" spans="1:18">
      <c r="A105" s="620"/>
      <c r="B105" s="621"/>
      <c r="C105" s="622"/>
      <c r="D105" s="622"/>
      <c r="E105" s="3"/>
      <c r="F105" s="623"/>
      <c r="G105" s="5"/>
      <c r="H105" s="623"/>
      <c r="I105" s="5"/>
      <c r="J105" s="371"/>
      <c r="K105" s="624"/>
      <c r="L105" s="623"/>
      <c r="M105" s="625"/>
      <c r="N105" s="626"/>
      <c r="O105" s="20"/>
      <c r="Q105" s="574">
        <f t="shared" si="17"/>
        <v>0</v>
      </c>
      <c r="R105" s="574">
        <f t="shared" si="18"/>
        <v>0</v>
      </c>
    </row>
    <row r="106" spans="1:18">
      <c r="A106" s="620" t="s">
        <v>290</v>
      </c>
      <c r="B106" s="621" t="s">
        <v>239</v>
      </c>
      <c r="C106" s="622"/>
      <c r="D106" s="622"/>
      <c r="E106" s="3">
        <v>1</v>
      </c>
      <c r="F106" s="623">
        <v>5.73</v>
      </c>
      <c r="G106" s="5">
        <v>1</v>
      </c>
      <c r="H106" s="623"/>
      <c r="I106" s="5"/>
      <c r="J106" s="371">
        <f t="shared" ref="J106:J164" si="36">(+F106*G106+H106*I106)*E106</f>
        <v>5.73</v>
      </c>
      <c r="K106" s="624"/>
      <c r="L106" s="623"/>
      <c r="M106" s="625"/>
      <c r="N106" s="626"/>
      <c r="O106" s="20" t="s">
        <v>592</v>
      </c>
      <c r="Q106" s="574">
        <f t="shared" si="17"/>
        <v>5.73</v>
      </c>
      <c r="R106" s="574">
        <f t="shared" si="18"/>
        <v>0</v>
      </c>
    </row>
    <row r="107" spans="1:18">
      <c r="A107" s="535" t="s">
        <v>290</v>
      </c>
      <c r="B107" s="536" t="s">
        <v>239</v>
      </c>
      <c r="C107" s="540"/>
      <c r="D107" s="540"/>
      <c r="E107" s="3">
        <v>1</v>
      </c>
      <c r="F107" s="8">
        <v>9.26</v>
      </c>
      <c r="G107" s="5">
        <v>1</v>
      </c>
      <c r="H107" s="8"/>
      <c r="I107" s="5"/>
      <c r="J107" s="371">
        <f t="shared" si="36"/>
        <v>9.26</v>
      </c>
      <c r="K107" s="2"/>
      <c r="L107" s="8"/>
      <c r="M107" s="7"/>
      <c r="N107" s="9" t="str">
        <f t="shared" ref="N107:N164" si="37">IF(K107=0,"",L107*M107*E107)</f>
        <v/>
      </c>
      <c r="O107" s="20" t="s">
        <v>550</v>
      </c>
      <c r="Q107" s="574">
        <f t="shared" si="17"/>
        <v>9.26</v>
      </c>
      <c r="R107" s="574">
        <f t="shared" si="18"/>
        <v>0</v>
      </c>
    </row>
    <row r="108" spans="1:18">
      <c r="A108" s="620"/>
      <c r="B108" s="621"/>
      <c r="C108" s="622"/>
      <c r="D108" s="622"/>
      <c r="E108" s="3"/>
      <c r="F108" s="623"/>
      <c r="G108" s="5"/>
      <c r="H108" s="623"/>
      <c r="I108" s="5"/>
      <c r="J108" s="371"/>
      <c r="K108" s="624"/>
      <c r="L108" s="623"/>
      <c r="M108" s="625"/>
      <c r="N108" s="626"/>
      <c r="O108" s="20"/>
      <c r="Q108" s="574">
        <f t="shared" si="17"/>
        <v>0</v>
      </c>
      <c r="R108" s="574">
        <f t="shared" si="18"/>
        <v>0</v>
      </c>
    </row>
    <row r="109" spans="1:18">
      <c r="A109" s="535" t="s">
        <v>466</v>
      </c>
      <c r="B109" s="536" t="s">
        <v>240</v>
      </c>
      <c r="C109" s="540"/>
      <c r="D109" s="540"/>
      <c r="E109" s="3">
        <v>1</v>
      </c>
      <c r="F109" s="8">
        <v>6.87</v>
      </c>
      <c r="G109" s="5">
        <v>1</v>
      </c>
      <c r="H109" s="8"/>
      <c r="I109" s="5"/>
      <c r="J109" s="371">
        <f>(+F109*G109+H109*I109)*E109</f>
        <v>6.87</v>
      </c>
      <c r="K109" s="2"/>
      <c r="L109" s="8"/>
      <c r="M109" s="7"/>
      <c r="N109" s="9" t="str">
        <f>IF(K109=0,"",L109*M109*E109)</f>
        <v/>
      </c>
      <c r="O109" s="20"/>
      <c r="Q109" s="574">
        <f t="shared" si="17"/>
        <v>6.87</v>
      </c>
      <c r="R109" s="574">
        <f t="shared" si="18"/>
        <v>0</v>
      </c>
    </row>
    <row r="110" spans="1:18">
      <c r="A110" s="535" t="s">
        <v>466</v>
      </c>
      <c r="B110" s="536" t="s">
        <v>70</v>
      </c>
      <c r="C110" s="540"/>
      <c r="D110" s="540"/>
      <c r="E110" s="3">
        <v>1</v>
      </c>
      <c r="F110" s="8">
        <v>6.87</v>
      </c>
      <c r="G110" s="5">
        <v>1</v>
      </c>
      <c r="H110" s="8"/>
      <c r="I110" s="5"/>
      <c r="J110" s="371">
        <f>(+F110*G110+H110*I110)*E110</f>
        <v>6.87</v>
      </c>
      <c r="K110" s="2"/>
      <c r="L110" s="8"/>
      <c r="M110" s="7"/>
      <c r="N110" s="9" t="str">
        <f>IF(K110=0,"",L110*M110*E110)</f>
        <v/>
      </c>
      <c r="O110" s="20"/>
      <c r="Q110" s="574">
        <f t="shared" si="17"/>
        <v>6.87</v>
      </c>
      <c r="R110" s="574">
        <f t="shared" si="18"/>
        <v>0</v>
      </c>
    </row>
    <row r="111" spans="1:18">
      <c r="A111" s="535" t="s">
        <v>466</v>
      </c>
      <c r="B111" s="536" t="s">
        <v>243</v>
      </c>
      <c r="C111" s="540"/>
      <c r="D111" s="540"/>
      <c r="E111" s="3">
        <v>1</v>
      </c>
      <c r="F111" s="8">
        <v>6.87</v>
      </c>
      <c r="G111" s="5">
        <v>1</v>
      </c>
      <c r="H111" s="8"/>
      <c r="I111" s="5"/>
      <c r="J111" s="371">
        <f>(+F111*G111+H111*I111)*E111</f>
        <v>6.87</v>
      </c>
      <c r="K111" s="2"/>
      <c r="L111" s="8"/>
      <c r="M111" s="7"/>
      <c r="N111" s="9" t="str">
        <f>IF(K111=0,"",L111*M111*E111)</f>
        <v/>
      </c>
      <c r="O111" s="20"/>
      <c r="Q111" s="574">
        <f t="shared" si="17"/>
        <v>6.87</v>
      </c>
      <c r="R111" s="574">
        <f t="shared" si="18"/>
        <v>0</v>
      </c>
    </row>
    <row r="112" spans="1:18">
      <c r="A112" s="535" t="s">
        <v>466</v>
      </c>
      <c r="B112" s="536" t="s">
        <v>245</v>
      </c>
      <c r="C112" s="540"/>
      <c r="D112" s="540"/>
      <c r="E112" s="3">
        <v>1</v>
      </c>
      <c r="F112" s="8">
        <v>6.87</v>
      </c>
      <c r="G112" s="5">
        <v>1</v>
      </c>
      <c r="H112" s="8"/>
      <c r="I112" s="5"/>
      <c r="J112" s="371">
        <f>(+F112*G112+H112*I112)*E112</f>
        <v>6.87</v>
      </c>
      <c r="K112" s="2"/>
      <c r="L112" s="8"/>
      <c r="M112" s="7"/>
      <c r="N112" s="9" t="str">
        <f>IF(K112=0,"",L112*M112*E112)</f>
        <v/>
      </c>
      <c r="O112" s="20"/>
      <c r="Q112" s="574">
        <f t="shared" si="17"/>
        <v>6.87</v>
      </c>
      <c r="R112" s="574">
        <f t="shared" si="18"/>
        <v>0</v>
      </c>
    </row>
    <row r="113" spans="1:18">
      <c r="A113" s="620"/>
      <c r="B113" s="621"/>
      <c r="C113" s="622"/>
      <c r="D113" s="622"/>
      <c r="E113" s="3"/>
      <c r="F113" s="623"/>
      <c r="G113" s="5"/>
      <c r="H113" s="623"/>
      <c r="I113" s="5"/>
      <c r="J113" s="371"/>
      <c r="K113" s="624"/>
      <c r="L113" s="623"/>
      <c r="M113" s="625"/>
      <c r="N113" s="626"/>
      <c r="O113" s="20"/>
      <c r="Q113" s="574">
        <f t="shared" si="17"/>
        <v>0</v>
      </c>
      <c r="R113" s="574">
        <f t="shared" si="18"/>
        <v>0</v>
      </c>
    </row>
    <row r="114" spans="1:18">
      <c r="A114" s="535" t="s">
        <v>291</v>
      </c>
      <c r="B114" s="536" t="s">
        <v>239</v>
      </c>
      <c r="C114" s="540"/>
      <c r="D114" s="540"/>
      <c r="E114" s="3">
        <v>1</v>
      </c>
      <c r="F114" s="8">
        <v>9.16</v>
      </c>
      <c r="G114" s="5">
        <v>1</v>
      </c>
      <c r="H114" s="8"/>
      <c r="I114" s="5"/>
      <c r="J114" s="371">
        <f t="shared" si="36"/>
        <v>9.16</v>
      </c>
      <c r="K114" s="2"/>
      <c r="L114" s="8"/>
      <c r="M114" s="7"/>
      <c r="N114" s="9" t="str">
        <f t="shared" si="37"/>
        <v/>
      </c>
      <c r="O114" s="20"/>
      <c r="Q114" s="574">
        <f t="shared" si="17"/>
        <v>9.16</v>
      </c>
      <c r="R114" s="574">
        <f t="shared" si="18"/>
        <v>0</v>
      </c>
    </row>
    <row r="115" spans="1:18">
      <c r="A115" s="535" t="s">
        <v>291</v>
      </c>
      <c r="B115" s="536" t="s">
        <v>68</v>
      </c>
      <c r="C115" s="540"/>
      <c r="D115" s="540"/>
      <c r="E115" s="3">
        <v>1</v>
      </c>
      <c r="F115" s="8">
        <v>13.74</v>
      </c>
      <c r="G115" s="5">
        <v>1</v>
      </c>
      <c r="H115" s="8"/>
      <c r="I115" s="5"/>
      <c r="J115" s="371">
        <f>(+F115*G115+H115*I115)*E115</f>
        <v>13.74</v>
      </c>
      <c r="K115" s="2"/>
      <c r="L115" s="8"/>
      <c r="M115" s="7"/>
      <c r="N115" s="9" t="str">
        <f>IF(K115=0,"",L115*M115*E115)</f>
        <v/>
      </c>
      <c r="O115" s="20"/>
      <c r="Q115" s="574">
        <f t="shared" si="17"/>
        <v>13.74</v>
      </c>
      <c r="R115" s="574">
        <f t="shared" si="18"/>
        <v>0</v>
      </c>
    </row>
    <row r="116" spans="1:18">
      <c r="A116" s="535" t="s">
        <v>291</v>
      </c>
      <c r="B116" s="536" t="s">
        <v>240</v>
      </c>
      <c r="C116" s="540"/>
      <c r="D116" s="540"/>
      <c r="E116" s="3">
        <v>1</v>
      </c>
      <c r="F116" s="8">
        <v>6.87</v>
      </c>
      <c r="G116" s="5">
        <v>1</v>
      </c>
      <c r="H116" s="8"/>
      <c r="I116" s="5"/>
      <c r="J116" s="371">
        <f>(+F116*G116+H116*I116)*E116</f>
        <v>6.87</v>
      </c>
      <c r="K116" s="2"/>
      <c r="L116" s="8"/>
      <c r="M116" s="7"/>
      <c r="N116" s="9" t="str">
        <f>IF(K116=0,"",L116*M116*E116)</f>
        <v/>
      </c>
      <c r="O116" s="20"/>
      <c r="Q116" s="574">
        <f t="shared" si="17"/>
        <v>6.87</v>
      </c>
      <c r="R116" s="574">
        <f t="shared" si="18"/>
        <v>0</v>
      </c>
    </row>
    <row r="117" spans="1:18">
      <c r="A117" s="535" t="s">
        <v>291</v>
      </c>
      <c r="B117" s="536" t="s">
        <v>70</v>
      </c>
      <c r="C117" s="540"/>
      <c r="D117" s="540"/>
      <c r="E117" s="3">
        <v>1</v>
      </c>
      <c r="F117" s="8">
        <v>6.87</v>
      </c>
      <c r="G117" s="5">
        <v>1</v>
      </c>
      <c r="H117" s="8"/>
      <c r="I117" s="5"/>
      <c r="J117" s="371">
        <f>(+F117*G117+H117*I117)*E117</f>
        <v>6.87</v>
      </c>
      <c r="K117" s="2"/>
      <c r="L117" s="8"/>
      <c r="M117" s="7"/>
      <c r="N117" s="9" t="str">
        <f>IF(K117=0,"",L117*M117*E117)</f>
        <v/>
      </c>
      <c r="O117" s="20"/>
      <c r="Q117" s="574">
        <f t="shared" si="17"/>
        <v>6.87</v>
      </c>
      <c r="R117" s="574">
        <f t="shared" si="18"/>
        <v>0</v>
      </c>
    </row>
    <row r="118" spans="1:18">
      <c r="A118" s="535" t="s">
        <v>291</v>
      </c>
      <c r="B118" s="536" t="s">
        <v>243</v>
      </c>
      <c r="C118" s="540"/>
      <c r="D118" s="540"/>
      <c r="E118" s="3">
        <v>1</v>
      </c>
      <c r="F118" s="8">
        <v>6.87</v>
      </c>
      <c r="G118" s="5">
        <v>1</v>
      </c>
      <c r="H118" s="8"/>
      <c r="I118" s="5"/>
      <c r="J118" s="371">
        <f>(+F118*G118+H118*I118)*E118</f>
        <v>6.87</v>
      </c>
      <c r="K118" s="2"/>
      <c r="L118" s="8"/>
      <c r="M118" s="7"/>
      <c r="N118" s="9" t="str">
        <f>IF(K118=0,"",L118*M118*E118)</f>
        <v/>
      </c>
      <c r="O118" s="20"/>
      <c r="Q118" s="574">
        <f t="shared" si="17"/>
        <v>6.87</v>
      </c>
      <c r="R118" s="574">
        <f t="shared" si="18"/>
        <v>0</v>
      </c>
    </row>
    <row r="119" spans="1:18">
      <c r="A119" s="535" t="s">
        <v>291</v>
      </c>
      <c r="B119" s="536" t="s">
        <v>245</v>
      </c>
      <c r="C119" s="540"/>
      <c r="D119" s="540"/>
      <c r="E119" s="3">
        <v>1</v>
      </c>
      <c r="F119" s="8">
        <v>27.48</v>
      </c>
      <c r="G119" s="5">
        <v>1</v>
      </c>
      <c r="H119" s="8"/>
      <c r="I119" s="5"/>
      <c r="J119" s="371">
        <f>(+F119*G119+H119*I119)*E119</f>
        <v>27.48</v>
      </c>
      <c r="K119" s="2"/>
      <c r="L119" s="8"/>
      <c r="M119" s="7"/>
      <c r="N119" s="9" t="str">
        <f>IF(K119=0,"",L119*M119*E119)</f>
        <v/>
      </c>
      <c r="O119" s="20"/>
      <c r="Q119" s="574">
        <f t="shared" si="17"/>
        <v>27.48</v>
      </c>
      <c r="R119" s="574">
        <f t="shared" si="18"/>
        <v>0</v>
      </c>
    </row>
    <row r="120" spans="1:18">
      <c r="A120" s="620"/>
      <c r="B120" s="621"/>
      <c r="C120" s="622"/>
      <c r="D120" s="622"/>
      <c r="E120" s="3"/>
      <c r="F120" s="623"/>
      <c r="G120" s="5"/>
      <c r="H120" s="623"/>
      <c r="I120" s="5"/>
      <c r="J120" s="371"/>
      <c r="K120" s="624"/>
      <c r="L120" s="623"/>
      <c r="M120" s="625"/>
      <c r="N120" s="626"/>
      <c r="O120" s="20"/>
      <c r="Q120" s="574">
        <f t="shared" si="17"/>
        <v>0</v>
      </c>
      <c r="R120" s="574">
        <f t="shared" si="18"/>
        <v>0</v>
      </c>
    </row>
    <row r="121" spans="1:18">
      <c r="A121" s="535" t="s">
        <v>531</v>
      </c>
      <c r="B121" s="536" t="s">
        <v>68</v>
      </c>
      <c r="C121" s="540"/>
      <c r="D121" s="540"/>
      <c r="E121" s="3">
        <v>1</v>
      </c>
      <c r="F121" s="8">
        <v>8</v>
      </c>
      <c r="G121" s="5">
        <v>1</v>
      </c>
      <c r="H121" s="8"/>
      <c r="I121" s="5"/>
      <c r="J121" s="371">
        <f t="shared" si="36"/>
        <v>8</v>
      </c>
      <c r="K121" s="2"/>
      <c r="L121" s="8"/>
      <c r="M121" s="7"/>
      <c r="N121" s="9" t="str">
        <f t="shared" si="37"/>
        <v/>
      </c>
      <c r="O121" s="20"/>
      <c r="Q121" s="574">
        <f t="shared" si="17"/>
        <v>8</v>
      </c>
      <c r="R121" s="574">
        <f t="shared" si="18"/>
        <v>0</v>
      </c>
    </row>
    <row r="122" spans="1:18">
      <c r="A122" s="535" t="s">
        <v>531</v>
      </c>
      <c r="B122" s="536" t="s">
        <v>240</v>
      </c>
      <c r="C122" s="540"/>
      <c r="D122" s="540"/>
      <c r="E122" s="3">
        <v>1</v>
      </c>
      <c r="F122" s="8">
        <v>1.5</v>
      </c>
      <c r="G122" s="5">
        <v>1</v>
      </c>
      <c r="H122" s="8"/>
      <c r="I122" s="5"/>
      <c r="J122" s="371">
        <f>(+F122*G122+H122*I122)*E122</f>
        <v>1.5</v>
      </c>
      <c r="K122" s="2"/>
      <c r="L122" s="8"/>
      <c r="M122" s="7"/>
      <c r="N122" s="9" t="str">
        <f>IF(K122=0,"",L122*M122*E122)</f>
        <v/>
      </c>
      <c r="O122" s="20"/>
      <c r="Q122" s="574">
        <f t="shared" si="17"/>
        <v>1.5</v>
      </c>
      <c r="R122" s="574">
        <f t="shared" si="18"/>
        <v>0</v>
      </c>
    </row>
    <row r="123" spans="1:18">
      <c r="A123" s="620" t="s">
        <v>531</v>
      </c>
      <c r="B123" s="621" t="s">
        <v>70</v>
      </c>
      <c r="C123" s="622"/>
      <c r="D123" s="622"/>
      <c r="E123" s="3">
        <v>1</v>
      </c>
      <c r="F123" s="623">
        <v>1.5</v>
      </c>
      <c r="G123" s="5">
        <v>1</v>
      </c>
      <c r="H123" s="623"/>
      <c r="I123" s="5"/>
      <c r="J123" s="371">
        <f>(+F123*G123+H123*I123)*E123</f>
        <v>1.5</v>
      </c>
      <c r="K123" s="624"/>
      <c r="L123" s="623"/>
      <c r="M123" s="625"/>
      <c r="N123" s="626" t="str">
        <f>IF(K123=0,"",L123*M123*E123)</f>
        <v/>
      </c>
      <c r="O123" s="20"/>
      <c r="Q123" s="574">
        <f t="shared" si="17"/>
        <v>1.5</v>
      </c>
      <c r="R123" s="574">
        <f t="shared" si="18"/>
        <v>0</v>
      </c>
    </row>
    <row r="124" spans="1:18">
      <c r="A124" s="535" t="s">
        <v>531</v>
      </c>
      <c r="B124" s="536" t="s">
        <v>243</v>
      </c>
      <c r="C124" s="540"/>
      <c r="D124" s="540"/>
      <c r="E124" s="3">
        <v>1</v>
      </c>
      <c r="F124" s="8">
        <v>4.5</v>
      </c>
      <c r="G124" s="5">
        <v>1</v>
      </c>
      <c r="H124" s="8"/>
      <c r="I124" s="5"/>
      <c r="J124" s="371">
        <f>(+F124*G124+H124*I124)*E124</f>
        <v>4.5</v>
      </c>
      <c r="K124" s="2"/>
      <c r="L124" s="8"/>
      <c r="M124" s="7"/>
      <c r="N124" s="9" t="str">
        <f>IF(K124=0,"",L124*M124*E124)</f>
        <v/>
      </c>
      <c r="O124" s="20"/>
      <c r="Q124" s="574">
        <f t="shared" si="17"/>
        <v>4.5</v>
      </c>
      <c r="R124" s="574">
        <f t="shared" si="18"/>
        <v>0</v>
      </c>
    </row>
    <row r="125" spans="1:18">
      <c r="A125" s="620" t="s">
        <v>531</v>
      </c>
      <c r="B125" s="621" t="s">
        <v>245</v>
      </c>
      <c r="C125" s="622"/>
      <c r="D125" s="622"/>
      <c r="E125" s="3">
        <v>1</v>
      </c>
      <c r="F125" s="623">
        <v>0.5</v>
      </c>
      <c r="G125" s="5">
        <v>1</v>
      </c>
      <c r="H125" s="623"/>
      <c r="I125" s="5"/>
      <c r="J125" s="371">
        <f>(+F125*G125+H125*I125)*E125</f>
        <v>0.5</v>
      </c>
      <c r="K125" s="624"/>
      <c r="L125" s="623"/>
      <c r="M125" s="625"/>
      <c r="N125" s="626" t="str">
        <f>IF(K125=0,"",L125*M125*E125)</f>
        <v/>
      </c>
      <c r="O125" s="20"/>
      <c r="Q125" s="574">
        <f t="shared" si="17"/>
        <v>0.5</v>
      </c>
      <c r="R125" s="574">
        <f t="shared" si="18"/>
        <v>0</v>
      </c>
    </row>
    <row r="126" spans="1:18">
      <c r="A126" s="620"/>
      <c r="B126" s="621"/>
      <c r="C126" s="622"/>
      <c r="D126" s="622"/>
      <c r="E126" s="3"/>
      <c r="F126" s="623"/>
      <c r="G126" s="5"/>
      <c r="H126" s="623"/>
      <c r="I126" s="5"/>
      <c r="J126" s="371"/>
      <c r="K126" s="624"/>
      <c r="L126" s="623"/>
      <c r="M126" s="625"/>
      <c r="N126" s="626"/>
      <c r="O126" s="20"/>
      <c r="Q126" s="574">
        <f t="shared" si="17"/>
        <v>0</v>
      </c>
      <c r="R126" s="574">
        <f t="shared" si="18"/>
        <v>0</v>
      </c>
    </row>
    <row r="127" spans="1:18">
      <c r="A127" s="535" t="s">
        <v>467</v>
      </c>
      <c r="B127" s="536" t="s">
        <v>239</v>
      </c>
      <c r="C127" s="540"/>
      <c r="D127" s="540"/>
      <c r="E127" s="3">
        <v>1</v>
      </c>
      <c r="F127" s="8">
        <v>1.72</v>
      </c>
      <c r="G127" s="5">
        <v>1</v>
      </c>
      <c r="H127" s="8"/>
      <c r="I127" s="5"/>
      <c r="J127" s="371">
        <f>(+F127*G127+H127*I127)*E127</f>
        <v>1.72</v>
      </c>
      <c r="K127" s="2"/>
      <c r="L127" s="8"/>
      <c r="M127" s="7"/>
      <c r="N127" s="9" t="str">
        <f>IF(K127=0,"",L127*M127*E127)</f>
        <v/>
      </c>
      <c r="O127" s="20" t="s">
        <v>474</v>
      </c>
      <c r="Q127" s="574">
        <f t="shared" si="17"/>
        <v>1.72</v>
      </c>
      <c r="R127" s="574">
        <f t="shared" si="18"/>
        <v>0</v>
      </c>
    </row>
    <row r="128" spans="1:18">
      <c r="A128" s="535" t="s">
        <v>467</v>
      </c>
      <c r="B128" s="536" t="s">
        <v>239</v>
      </c>
      <c r="C128" s="540"/>
      <c r="D128" s="540"/>
      <c r="E128" s="3">
        <v>1</v>
      </c>
      <c r="F128" s="8">
        <v>1.1499999999999999</v>
      </c>
      <c r="G128" s="5">
        <v>1</v>
      </c>
      <c r="H128" s="8"/>
      <c r="I128" s="5"/>
      <c r="J128" s="371">
        <f>(+F128*G128+H128*I128)*E128</f>
        <v>1.1499999999999999</v>
      </c>
      <c r="K128" s="2"/>
      <c r="L128" s="8"/>
      <c r="M128" s="7"/>
      <c r="N128" s="9" t="str">
        <f>IF(K128=0,"",L128*M128*E128)</f>
        <v/>
      </c>
      <c r="O128" s="20"/>
      <c r="Q128" s="574">
        <f t="shared" si="17"/>
        <v>1.1499999999999999</v>
      </c>
      <c r="R128" s="574">
        <f t="shared" si="18"/>
        <v>0</v>
      </c>
    </row>
    <row r="129" spans="1:18">
      <c r="A129" s="535" t="s">
        <v>467</v>
      </c>
      <c r="B129" s="536" t="s">
        <v>240</v>
      </c>
      <c r="C129" s="540"/>
      <c r="D129" s="540"/>
      <c r="E129" s="3">
        <v>1</v>
      </c>
      <c r="F129" s="8">
        <v>1.1499999999999999</v>
      </c>
      <c r="G129" s="5">
        <v>1</v>
      </c>
      <c r="H129" s="8"/>
      <c r="I129" s="5"/>
      <c r="J129" s="371">
        <f t="shared" si="36"/>
        <v>1.1499999999999999</v>
      </c>
      <c r="K129" s="2"/>
      <c r="L129" s="8"/>
      <c r="M129" s="7"/>
      <c r="N129" s="9" t="str">
        <f t="shared" si="37"/>
        <v/>
      </c>
      <c r="O129" s="20"/>
      <c r="Q129" s="574">
        <f t="shared" si="17"/>
        <v>1.1499999999999999</v>
      </c>
      <c r="R129" s="574">
        <f t="shared" si="18"/>
        <v>0</v>
      </c>
    </row>
    <row r="130" spans="1:18">
      <c r="A130" s="535" t="s">
        <v>467</v>
      </c>
      <c r="B130" s="536" t="s">
        <v>243</v>
      </c>
      <c r="C130" s="540"/>
      <c r="D130" s="540"/>
      <c r="E130" s="3">
        <v>1</v>
      </c>
      <c r="F130" s="8">
        <v>1.1499999999999999</v>
      </c>
      <c r="G130" s="5">
        <v>1</v>
      </c>
      <c r="H130" s="8"/>
      <c r="I130" s="5"/>
      <c r="J130" s="371">
        <f>(+F130*G130+H130*I130)*E130</f>
        <v>1.1499999999999999</v>
      </c>
      <c r="K130" s="2"/>
      <c r="L130" s="8"/>
      <c r="M130" s="7"/>
      <c r="N130" s="9" t="str">
        <f>IF(K130=0,"",L130*M130*E130)</f>
        <v/>
      </c>
      <c r="O130" s="20"/>
      <c r="Q130" s="574">
        <f t="shared" si="17"/>
        <v>1.1499999999999999</v>
      </c>
      <c r="R130" s="574">
        <f t="shared" si="18"/>
        <v>0</v>
      </c>
    </row>
    <row r="131" spans="1:18">
      <c r="A131" s="620" t="s">
        <v>467</v>
      </c>
      <c r="B131" s="621" t="s">
        <v>250</v>
      </c>
      <c r="C131" s="622"/>
      <c r="D131" s="622"/>
      <c r="E131" s="701">
        <v>1</v>
      </c>
      <c r="F131" s="623">
        <v>4.58</v>
      </c>
      <c r="G131" s="702">
        <v>1</v>
      </c>
      <c r="H131" s="623"/>
      <c r="I131" s="702"/>
      <c r="J131" s="703">
        <f>(+F131*G131+H131*I131)*E131</f>
        <v>4.58</v>
      </c>
      <c r="K131" s="624"/>
      <c r="L131" s="623"/>
      <c r="M131" s="625"/>
      <c r="N131" s="626" t="str">
        <f>IF(K131=0,"",L131*M131*E131)</f>
        <v/>
      </c>
      <c r="O131" s="20" t="s">
        <v>625</v>
      </c>
      <c r="Q131" s="574">
        <f t="shared" si="17"/>
        <v>4.58</v>
      </c>
      <c r="R131" s="574">
        <f t="shared" si="18"/>
        <v>0</v>
      </c>
    </row>
    <row r="132" spans="1:18">
      <c r="A132" s="620"/>
      <c r="B132" s="621"/>
      <c r="C132" s="622"/>
      <c r="D132" s="622"/>
      <c r="E132" s="3"/>
      <c r="F132" s="623"/>
      <c r="G132" s="5"/>
      <c r="H132" s="623"/>
      <c r="I132" s="5"/>
      <c r="J132" s="371"/>
      <c r="K132" s="624"/>
      <c r="L132" s="623"/>
      <c r="M132" s="625"/>
      <c r="N132" s="626"/>
      <c r="O132" s="20"/>
      <c r="Q132" s="574">
        <f t="shared" si="17"/>
        <v>0</v>
      </c>
      <c r="R132" s="574">
        <f t="shared" si="18"/>
        <v>0</v>
      </c>
    </row>
    <row r="133" spans="1:18">
      <c r="A133" s="535" t="s">
        <v>288</v>
      </c>
      <c r="B133" s="536" t="s">
        <v>70</v>
      </c>
      <c r="C133" s="540"/>
      <c r="D133" s="540"/>
      <c r="E133" s="3">
        <v>1</v>
      </c>
      <c r="F133" s="8">
        <v>0.38</v>
      </c>
      <c r="G133" s="5">
        <v>1</v>
      </c>
      <c r="H133" s="8"/>
      <c r="I133" s="5"/>
      <c r="J133" s="371">
        <f t="shared" ref="J133:J139" si="38">(+F133*G133+H133*I133)*E133</f>
        <v>0.38</v>
      </c>
      <c r="K133" s="2"/>
      <c r="L133" s="8"/>
      <c r="M133" s="7"/>
      <c r="N133" s="9" t="str">
        <f>IF(K133=0,"",L133*M133*E133)</f>
        <v/>
      </c>
      <c r="O133" s="20"/>
      <c r="Q133" s="574">
        <f t="shared" ref="Q133:Q195" si="39">F133*G133*E133</f>
        <v>0.38</v>
      </c>
      <c r="R133" s="574">
        <f t="shared" ref="R133:R195" si="40">H133*E133*I133</f>
        <v>0</v>
      </c>
    </row>
    <row r="134" spans="1:18">
      <c r="A134" s="620" t="s">
        <v>288</v>
      </c>
      <c r="B134" s="621" t="s">
        <v>243</v>
      </c>
      <c r="C134" s="622"/>
      <c r="D134" s="622"/>
      <c r="E134" s="3">
        <v>1</v>
      </c>
      <c r="F134" s="8">
        <v>0.38</v>
      </c>
      <c r="G134" s="5">
        <v>1</v>
      </c>
      <c r="H134" s="8"/>
      <c r="I134" s="5"/>
      <c r="J134" s="371">
        <f t="shared" si="38"/>
        <v>0.38</v>
      </c>
      <c r="K134" s="624"/>
      <c r="L134" s="623"/>
      <c r="M134" s="625"/>
      <c r="N134" s="626"/>
      <c r="O134" s="20"/>
      <c r="Q134" s="574">
        <f t="shared" ref="Q134:Q140" si="41">F134*G134*E134</f>
        <v>0.38</v>
      </c>
      <c r="R134" s="574">
        <f t="shared" ref="R134:R140" si="42">H134*E134*I134</f>
        <v>0</v>
      </c>
    </row>
    <row r="135" spans="1:18">
      <c r="A135" s="535" t="s">
        <v>288</v>
      </c>
      <c r="B135" s="536" t="s">
        <v>245</v>
      </c>
      <c r="C135" s="540"/>
      <c r="D135" s="540"/>
      <c r="E135" s="3">
        <v>1</v>
      </c>
      <c r="F135" s="8">
        <v>0.38</v>
      </c>
      <c r="G135" s="5">
        <v>1</v>
      </c>
      <c r="H135" s="8"/>
      <c r="I135" s="5"/>
      <c r="J135" s="371">
        <f t="shared" si="38"/>
        <v>0.38</v>
      </c>
      <c r="K135" s="2"/>
      <c r="L135" s="8"/>
      <c r="M135" s="7"/>
      <c r="N135" s="9" t="str">
        <f>IF(K135=0,"",L135*M135*E135)</f>
        <v/>
      </c>
      <c r="O135" s="20"/>
      <c r="Q135" s="574">
        <f t="shared" si="41"/>
        <v>0.38</v>
      </c>
      <c r="R135" s="574">
        <f t="shared" si="42"/>
        <v>0</v>
      </c>
    </row>
    <row r="136" spans="1:18">
      <c r="A136" s="535" t="s">
        <v>288</v>
      </c>
      <c r="B136" s="536" t="s">
        <v>73</v>
      </c>
      <c r="C136" s="540"/>
      <c r="D136" s="540"/>
      <c r="E136" s="3">
        <v>1</v>
      </c>
      <c r="F136" s="8">
        <v>0.38</v>
      </c>
      <c r="G136" s="5">
        <v>1</v>
      </c>
      <c r="H136" s="8"/>
      <c r="I136" s="5"/>
      <c r="J136" s="371">
        <f t="shared" si="38"/>
        <v>0.38</v>
      </c>
      <c r="K136" s="2"/>
      <c r="L136" s="8"/>
      <c r="M136" s="7"/>
      <c r="N136" s="9" t="str">
        <f>IF(K136=0,"",L136*M136*E136)</f>
        <v/>
      </c>
      <c r="O136" s="20"/>
      <c r="Q136" s="574">
        <f t="shared" si="41"/>
        <v>0.38</v>
      </c>
      <c r="R136" s="574">
        <f t="shared" si="42"/>
        <v>0</v>
      </c>
    </row>
    <row r="137" spans="1:18">
      <c r="A137" s="535" t="s">
        <v>288</v>
      </c>
      <c r="B137" s="536" t="s">
        <v>247</v>
      </c>
      <c r="C137" s="540"/>
      <c r="D137" s="540"/>
      <c r="E137" s="3">
        <v>1</v>
      </c>
      <c r="F137" s="8">
        <v>0.38</v>
      </c>
      <c r="G137" s="5">
        <v>1</v>
      </c>
      <c r="H137" s="8"/>
      <c r="I137" s="5"/>
      <c r="J137" s="371">
        <f t="shared" si="38"/>
        <v>0.38</v>
      </c>
      <c r="K137" s="2"/>
      <c r="L137" s="8"/>
      <c r="M137" s="7"/>
      <c r="N137" s="9" t="str">
        <f>IF(K137=0,"",L137*M137*E137)</f>
        <v/>
      </c>
      <c r="O137" s="20"/>
      <c r="Q137" s="574">
        <f t="shared" si="41"/>
        <v>0.38</v>
      </c>
      <c r="R137" s="574">
        <f t="shared" si="42"/>
        <v>0</v>
      </c>
    </row>
    <row r="138" spans="1:18">
      <c r="A138" s="535" t="s">
        <v>288</v>
      </c>
      <c r="B138" s="536" t="s">
        <v>72</v>
      </c>
      <c r="C138" s="540"/>
      <c r="D138" s="540"/>
      <c r="E138" s="3">
        <v>1</v>
      </c>
      <c r="F138" s="8">
        <v>0.38</v>
      </c>
      <c r="G138" s="5">
        <v>1</v>
      </c>
      <c r="H138" s="8"/>
      <c r="I138" s="5"/>
      <c r="J138" s="371">
        <f t="shared" si="38"/>
        <v>0.38</v>
      </c>
      <c r="K138" s="2"/>
      <c r="L138" s="8"/>
      <c r="M138" s="7"/>
      <c r="N138" s="9" t="str">
        <f>IF(K138=0,"",L138*M138*E138)</f>
        <v/>
      </c>
      <c r="O138" s="20"/>
      <c r="Q138" s="574">
        <f t="shared" si="41"/>
        <v>0.38</v>
      </c>
      <c r="R138" s="574">
        <f t="shared" si="42"/>
        <v>0</v>
      </c>
    </row>
    <row r="139" spans="1:18">
      <c r="A139" s="620" t="s">
        <v>288</v>
      </c>
      <c r="B139" s="621" t="s">
        <v>249</v>
      </c>
      <c r="C139" s="622"/>
      <c r="D139" s="622"/>
      <c r="E139" s="3">
        <v>1</v>
      </c>
      <c r="F139" s="8">
        <v>0.18</v>
      </c>
      <c r="G139" s="5">
        <v>1</v>
      </c>
      <c r="H139" s="8"/>
      <c r="I139" s="5"/>
      <c r="J139" s="371">
        <f t="shared" si="38"/>
        <v>0.18</v>
      </c>
      <c r="K139" s="624"/>
      <c r="L139" s="623"/>
      <c r="M139" s="625"/>
      <c r="N139" s="626"/>
      <c r="O139" s="20"/>
      <c r="Q139" s="574">
        <f t="shared" si="41"/>
        <v>0.18</v>
      </c>
      <c r="R139" s="574">
        <f t="shared" si="42"/>
        <v>0</v>
      </c>
    </row>
    <row r="140" spans="1:18">
      <c r="A140" s="620"/>
      <c r="B140" s="621"/>
      <c r="C140" s="622"/>
      <c r="D140" s="622"/>
      <c r="E140" s="3"/>
      <c r="F140" s="623"/>
      <c r="G140" s="5"/>
      <c r="H140" s="623"/>
      <c r="I140" s="5"/>
      <c r="J140" s="371"/>
      <c r="K140" s="624"/>
      <c r="L140" s="623"/>
      <c r="M140" s="625"/>
      <c r="N140" s="626"/>
      <c r="O140" s="20"/>
      <c r="Q140" s="574">
        <f t="shared" si="41"/>
        <v>0</v>
      </c>
      <c r="R140" s="574">
        <f t="shared" si="42"/>
        <v>0</v>
      </c>
    </row>
    <row r="141" spans="1:18">
      <c r="A141" s="535" t="s">
        <v>292</v>
      </c>
      <c r="B141" s="536" t="s">
        <v>243</v>
      </c>
      <c r="C141" s="540"/>
      <c r="D141" s="540"/>
      <c r="E141" s="3">
        <v>1</v>
      </c>
      <c r="F141" s="8">
        <v>11.45</v>
      </c>
      <c r="G141" s="5">
        <v>1</v>
      </c>
      <c r="H141" s="8"/>
      <c r="I141" s="5"/>
      <c r="J141" s="371">
        <f t="shared" si="36"/>
        <v>11.45</v>
      </c>
      <c r="K141" s="2"/>
      <c r="L141" s="8"/>
      <c r="M141" s="7"/>
      <c r="N141" s="9" t="str">
        <f t="shared" si="37"/>
        <v/>
      </c>
      <c r="O141" s="20"/>
      <c r="Q141" s="574">
        <f t="shared" si="39"/>
        <v>11.45</v>
      </c>
      <c r="R141" s="574">
        <f t="shared" si="40"/>
        <v>0</v>
      </c>
    </row>
    <row r="142" spans="1:18">
      <c r="A142" s="535" t="s">
        <v>292</v>
      </c>
      <c r="B142" s="536" t="s">
        <v>245</v>
      </c>
      <c r="C142" s="540"/>
      <c r="D142" s="540"/>
      <c r="E142" s="3">
        <v>1</v>
      </c>
      <c r="F142" s="8">
        <v>9.16</v>
      </c>
      <c r="G142" s="5">
        <v>1</v>
      </c>
      <c r="H142" s="8"/>
      <c r="I142" s="5"/>
      <c r="J142" s="371">
        <f t="shared" si="36"/>
        <v>9.16</v>
      </c>
      <c r="K142" s="2"/>
      <c r="L142" s="8"/>
      <c r="M142" s="7"/>
      <c r="N142" s="9" t="str">
        <f t="shared" si="37"/>
        <v/>
      </c>
      <c r="O142" s="20"/>
      <c r="Q142" s="574">
        <f t="shared" si="39"/>
        <v>9.16</v>
      </c>
      <c r="R142" s="574">
        <f t="shared" si="40"/>
        <v>0</v>
      </c>
    </row>
    <row r="143" spans="1:18">
      <c r="A143" s="535" t="s">
        <v>292</v>
      </c>
      <c r="B143" s="536" t="s">
        <v>73</v>
      </c>
      <c r="C143" s="540"/>
      <c r="D143" s="540"/>
      <c r="E143" s="3">
        <v>1</v>
      </c>
      <c r="F143" s="8">
        <v>13.74</v>
      </c>
      <c r="G143" s="5">
        <v>1</v>
      </c>
      <c r="H143" s="8"/>
      <c r="I143" s="5"/>
      <c r="J143" s="371">
        <f t="shared" si="36"/>
        <v>13.74</v>
      </c>
      <c r="K143" s="2"/>
      <c r="L143" s="8"/>
      <c r="M143" s="7"/>
      <c r="N143" s="9" t="str">
        <f t="shared" si="37"/>
        <v/>
      </c>
      <c r="O143" s="20"/>
      <c r="Q143" s="574">
        <f t="shared" si="39"/>
        <v>13.74</v>
      </c>
      <c r="R143" s="574">
        <f t="shared" si="40"/>
        <v>0</v>
      </c>
    </row>
    <row r="144" spans="1:18">
      <c r="A144" s="535" t="s">
        <v>292</v>
      </c>
      <c r="B144" s="536" t="s">
        <v>247</v>
      </c>
      <c r="C144" s="540"/>
      <c r="D144" s="540"/>
      <c r="E144" s="3">
        <v>1</v>
      </c>
      <c r="F144" s="8">
        <v>18.32</v>
      </c>
      <c r="G144" s="5">
        <v>1</v>
      </c>
      <c r="H144" s="8"/>
      <c r="I144" s="5"/>
      <c r="J144" s="371">
        <f t="shared" si="36"/>
        <v>18.32</v>
      </c>
      <c r="K144" s="2"/>
      <c r="L144" s="8"/>
      <c r="M144" s="7"/>
      <c r="N144" s="9" t="str">
        <f t="shared" si="37"/>
        <v/>
      </c>
      <c r="O144" s="20"/>
      <c r="Q144" s="574">
        <f t="shared" si="39"/>
        <v>18.32</v>
      </c>
      <c r="R144" s="574">
        <f t="shared" si="40"/>
        <v>0</v>
      </c>
    </row>
    <row r="145" spans="1:18">
      <c r="A145" s="535" t="s">
        <v>292</v>
      </c>
      <c r="B145" s="536" t="s">
        <v>72</v>
      </c>
      <c r="C145" s="540"/>
      <c r="D145" s="540"/>
      <c r="E145" s="3">
        <v>1</v>
      </c>
      <c r="F145" s="8">
        <v>13.74</v>
      </c>
      <c r="G145" s="5">
        <v>1</v>
      </c>
      <c r="H145" s="8"/>
      <c r="I145" s="5"/>
      <c r="J145" s="371">
        <f t="shared" si="36"/>
        <v>13.74</v>
      </c>
      <c r="K145" s="2"/>
      <c r="L145" s="8"/>
      <c r="M145" s="7"/>
      <c r="N145" s="9" t="str">
        <f t="shared" si="37"/>
        <v/>
      </c>
      <c r="O145" s="20"/>
      <c r="Q145" s="574">
        <f t="shared" si="39"/>
        <v>13.74</v>
      </c>
      <c r="R145" s="574">
        <f t="shared" si="40"/>
        <v>0</v>
      </c>
    </row>
    <row r="146" spans="1:18">
      <c r="A146" s="541" t="s">
        <v>292</v>
      </c>
      <c r="B146" s="542" t="s">
        <v>249</v>
      </c>
      <c r="C146" s="539"/>
      <c r="D146" s="539"/>
      <c r="E146" s="3">
        <v>1</v>
      </c>
      <c r="F146" s="8">
        <v>13.74</v>
      </c>
      <c r="G146" s="5">
        <v>1</v>
      </c>
      <c r="H146" s="8"/>
      <c r="I146" s="5"/>
      <c r="J146" s="372">
        <f t="shared" si="36"/>
        <v>13.74</v>
      </c>
      <c r="K146" s="31"/>
      <c r="L146" s="8"/>
      <c r="M146" s="7"/>
      <c r="N146" s="9" t="str">
        <f t="shared" si="37"/>
        <v/>
      </c>
      <c r="O146" s="20"/>
      <c r="Q146" s="574">
        <f t="shared" si="39"/>
        <v>13.74</v>
      </c>
      <c r="R146" s="574">
        <f t="shared" si="40"/>
        <v>0</v>
      </c>
    </row>
    <row r="147" spans="1:18">
      <c r="A147" s="541" t="s">
        <v>292</v>
      </c>
      <c r="B147" s="542" t="s">
        <v>75</v>
      </c>
      <c r="C147" s="539"/>
      <c r="D147" s="539"/>
      <c r="E147" s="3">
        <v>1</v>
      </c>
      <c r="F147" s="8">
        <v>4.97</v>
      </c>
      <c r="G147" s="5">
        <v>1</v>
      </c>
      <c r="H147" s="8"/>
      <c r="I147" s="5"/>
      <c r="J147" s="372">
        <f t="shared" si="36"/>
        <v>4.97</v>
      </c>
      <c r="K147" s="31"/>
      <c r="L147" s="8"/>
      <c r="M147" s="7"/>
      <c r="N147" s="9" t="str">
        <f t="shared" si="37"/>
        <v/>
      </c>
      <c r="O147" s="20"/>
      <c r="Q147" s="574">
        <f t="shared" si="39"/>
        <v>4.97</v>
      </c>
      <c r="R147" s="574">
        <f t="shared" si="40"/>
        <v>0</v>
      </c>
    </row>
    <row r="148" spans="1:18">
      <c r="A148" s="535" t="s">
        <v>292</v>
      </c>
      <c r="B148" s="536" t="s">
        <v>250</v>
      </c>
      <c r="C148" s="540"/>
      <c r="D148" s="540"/>
      <c r="E148" s="3">
        <v>1</v>
      </c>
      <c r="F148" s="8">
        <v>2.29</v>
      </c>
      <c r="G148" s="5">
        <v>1</v>
      </c>
      <c r="H148" s="8"/>
      <c r="I148" s="5"/>
      <c r="J148" s="371">
        <f t="shared" ref="J148:J163" si="43">(+F148*G148+H148*I148)*E148</f>
        <v>2.29</v>
      </c>
      <c r="K148" s="2"/>
      <c r="L148" s="8"/>
      <c r="M148" s="7"/>
      <c r="N148" s="9" t="str">
        <f t="shared" ref="N148:N163" si="44">IF(K148=0,"",L148*M148*E148)</f>
        <v/>
      </c>
      <c r="O148" s="20"/>
      <c r="Q148" s="574">
        <f t="shared" si="39"/>
        <v>2.29</v>
      </c>
      <c r="R148" s="574">
        <f t="shared" si="40"/>
        <v>0</v>
      </c>
    </row>
    <row r="149" spans="1:18">
      <c r="A149" s="535" t="s">
        <v>292</v>
      </c>
      <c r="B149" s="536" t="s">
        <v>251</v>
      </c>
      <c r="C149" s="540"/>
      <c r="D149" s="540"/>
      <c r="E149" s="3">
        <v>1</v>
      </c>
      <c r="F149" s="8">
        <v>1.1499999999999999</v>
      </c>
      <c r="G149" s="5">
        <v>1</v>
      </c>
      <c r="H149" s="8"/>
      <c r="I149" s="5"/>
      <c r="J149" s="371">
        <f t="shared" si="43"/>
        <v>1.1499999999999999</v>
      </c>
      <c r="K149" s="2"/>
      <c r="L149" s="8"/>
      <c r="M149" s="7"/>
      <c r="N149" s="9" t="str">
        <f t="shared" si="44"/>
        <v/>
      </c>
      <c r="O149" s="20"/>
      <c r="Q149" s="574">
        <f t="shared" si="39"/>
        <v>1.1499999999999999</v>
      </c>
      <c r="R149" s="574">
        <f t="shared" si="40"/>
        <v>0</v>
      </c>
    </row>
    <row r="150" spans="1:18">
      <c r="A150" s="620"/>
      <c r="B150" s="621"/>
      <c r="C150" s="622"/>
      <c r="D150" s="622"/>
      <c r="E150" s="701"/>
      <c r="F150" s="623"/>
      <c r="G150" s="702"/>
      <c r="H150" s="623"/>
      <c r="I150" s="702"/>
      <c r="J150" s="703"/>
      <c r="K150" s="624"/>
      <c r="L150" s="623"/>
      <c r="M150" s="625"/>
      <c r="N150" s="626"/>
      <c r="O150" s="20"/>
      <c r="Q150" s="574">
        <f t="shared" si="39"/>
        <v>0</v>
      </c>
      <c r="R150" s="574">
        <f t="shared" si="40"/>
        <v>0</v>
      </c>
    </row>
    <row r="151" spans="1:18">
      <c r="A151" s="541" t="s">
        <v>468</v>
      </c>
      <c r="B151" s="542" t="s">
        <v>243</v>
      </c>
      <c r="C151" s="539"/>
      <c r="D151" s="539"/>
      <c r="E151" s="3">
        <v>1</v>
      </c>
      <c r="F151" s="8">
        <v>7.55</v>
      </c>
      <c r="G151" s="8">
        <v>1</v>
      </c>
      <c r="H151" s="8"/>
      <c r="I151" s="8"/>
      <c r="J151" s="372">
        <f t="shared" si="43"/>
        <v>7.55</v>
      </c>
      <c r="K151" s="31"/>
      <c r="L151" s="8"/>
      <c r="M151" s="7"/>
      <c r="N151" s="9" t="str">
        <f t="shared" si="44"/>
        <v/>
      </c>
      <c r="O151" s="20"/>
      <c r="Q151" s="574">
        <f t="shared" si="39"/>
        <v>7.55</v>
      </c>
      <c r="R151" s="574">
        <f t="shared" si="40"/>
        <v>0</v>
      </c>
    </row>
    <row r="152" spans="1:18">
      <c r="A152" s="541" t="s">
        <v>468</v>
      </c>
      <c r="B152" s="542" t="s">
        <v>245</v>
      </c>
      <c r="C152" s="539"/>
      <c r="D152" s="539"/>
      <c r="E152" s="3">
        <v>1</v>
      </c>
      <c r="F152" s="8">
        <v>6.69</v>
      </c>
      <c r="G152" s="8">
        <v>1</v>
      </c>
      <c r="H152" s="8"/>
      <c r="I152" s="8"/>
      <c r="J152" s="372">
        <f t="shared" si="43"/>
        <v>6.69</v>
      </c>
      <c r="K152" s="31"/>
      <c r="L152" s="8"/>
      <c r="M152" s="7"/>
      <c r="N152" s="9" t="str">
        <f t="shared" si="44"/>
        <v/>
      </c>
      <c r="O152" s="20"/>
      <c r="Q152" s="574">
        <f t="shared" si="39"/>
        <v>6.69</v>
      </c>
      <c r="R152" s="574">
        <f t="shared" si="40"/>
        <v>0</v>
      </c>
    </row>
    <row r="153" spans="1:18">
      <c r="A153" s="541" t="s">
        <v>468</v>
      </c>
      <c r="B153" s="542" t="s">
        <v>73</v>
      </c>
      <c r="C153" s="539"/>
      <c r="D153" s="539"/>
      <c r="E153" s="3">
        <v>1</v>
      </c>
      <c r="F153" s="8">
        <v>16.96</v>
      </c>
      <c r="G153" s="8">
        <v>1</v>
      </c>
      <c r="H153" s="8"/>
      <c r="I153" s="8"/>
      <c r="J153" s="372">
        <f t="shared" si="43"/>
        <v>16.96</v>
      </c>
      <c r="K153" s="31"/>
      <c r="L153" s="8"/>
      <c r="M153" s="7"/>
      <c r="N153" s="9" t="str">
        <f t="shared" si="44"/>
        <v/>
      </c>
      <c r="O153" s="20"/>
      <c r="Q153" s="574">
        <f t="shared" si="39"/>
        <v>16.96</v>
      </c>
      <c r="R153" s="574">
        <f t="shared" si="40"/>
        <v>0</v>
      </c>
    </row>
    <row r="154" spans="1:18">
      <c r="A154" s="541" t="s">
        <v>468</v>
      </c>
      <c r="B154" s="542" t="s">
        <v>247</v>
      </c>
      <c r="C154" s="539"/>
      <c r="D154" s="539"/>
      <c r="E154" s="3">
        <v>1</v>
      </c>
      <c r="F154" s="8">
        <v>38.53</v>
      </c>
      <c r="G154" s="5">
        <v>1</v>
      </c>
      <c r="H154" s="8"/>
      <c r="I154" s="5"/>
      <c r="J154" s="372">
        <f t="shared" si="43"/>
        <v>38.53</v>
      </c>
      <c r="K154" s="31"/>
      <c r="L154" s="8"/>
      <c r="M154" s="7"/>
      <c r="N154" s="9" t="str">
        <f t="shared" si="44"/>
        <v/>
      </c>
      <c r="O154" s="20"/>
      <c r="Q154" s="574">
        <f t="shared" si="39"/>
        <v>38.53</v>
      </c>
      <c r="R154" s="574">
        <f t="shared" si="40"/>
        <v>0</v>
      </c>
    </row>
    <row r="155" spans="1:18">
      <c r="A155" s="541" t="s">
        <v>468</v>
      </c>
      <c r="B155" s="542" t="s">
        <v>72</v>
      </c>
      <c r="C155" s="539"/>
      <c r="D155" s="539"/>
      <c r="E155" s="3">
        <v>1</v>
      </c>
      <c r="F155" s="8">
        <v>19.13</v>
      </c>
      <c r="G155" s="5">
        <v>1</v>
      </c>
      <c r="H155" s="8"/>
      <c r="I155" s="5"/>
      <c r="J155" s="372">
        <f t="shared" si="43"/>
        <v>19.13</v>
      </c>
      <c r="K155" s="31"/>
      <c r="L155" s="8"/>
      <c r="M155" s="7"/>
      <c r="N155" s="9" t="str">
        <f t="shared" si="44"/>
        <v/>
      </c>
      <c r="O155" s="20"/>
      <c r="Q155" s="574">
        <f t="shared" si="39"/>
        <v>19.13</v>
      </c>
      <c r="R155" s="574">
        <f t="shared" si="40"/>
        <v>0</v>
      </c>
    </row>
    <row r="156" spans="1:18">
      <c r="A156" s="541" t="s">
        <v>468</v>
      </c>
      <c r="B156" s="542" t="s">
        <v>249</v>
      </c>
      <c r="C156" s="539"/>
      <c r="D156" s="539"/>
      <c r="E156" s="3">
        <v>1</v>
      </c>
      <c r="F156" s="8">
        <v>10.07</v>
      </c>
      <c r="G156" s="5">
        <v>1</v>
      </c>
      <c r="H156" s="8"/>
      <c r="I156" s="5"/>
      <c r="J156" s="372">
        <f t="shared" si="43"/>
        <v>10.07</v>
      </c>
      <c r="K156" s="31"/>
      <c r="L156" s="8"/>
      <c r="M156" s="7"/>
      <c r="N156" s="9" t="str">
        <f t="shared" si="44"/>
        <v/>
      </c>
      <c r="O156" s="20"/>
      <c r="Q156" s="574">
        <f t="shared" si="39"/>
        <v>10.07</v>
      </c>
      <c r="R156" s="574">
        <f t="shared" si="40"/>
        <v>0</v>
      </c>
    </row>
    <row r="157" spans="1:18">
      <c r="A157" s="541" t="s">
        <v>468</v>
      </c>
      <c r="B157" s="542" t="s">
        <v>75</v>
      </c>
      <c r="C157" s="539"/>
      <c r="D157" s="539"/>
      <c r="E157" s="3">
        <v>1</v>
      </c>
      <c r="F157" s="8">
        <v>1.45</v>
      </c>
      <c r="G157" s="5">
        <v>1</v>
      </c>
      <c r="H157" s="8"/>
      <c r="I157" s="5"/>
      <c r="J157" s="372">
        <f t="shared" si="43"/>
        <v>1.45</v>
      </c>
      <c r="K157" s="31"/>
      <c r="L157" s="8"/>
      <c r="M157" s="7"/>
      <c r="N157" s="9" t="str">
        <f t="shared" si="44"/>
        <v/>
      </c>
      <c r="O157" s="20"/>
      <c r="Q157" s="574">
        <f t="shared" si="39"/>
        <v>1.45</v>
      </c>
      <c r="R157" s="574">
        <f t="shared" si="40"/>
        <v>0</v>
      </c>
    </row>
    <row r="158" spans="1:18">
      <c r="A158" s="628"/>
      <c r="B158" s="629"/>
      <c r="C158" s="630"/>
      <c r="D158" s="630"/>
      <c r="E158" s="701"/>
      <c r="F158" s="623"/>
      <c r="G158" s="702"/>
      <c r="H158" s="623"/>
      <c r="I158" s="702"/>
      <c r="J158" s="631"/>
      <c r="K158" s="632"/>
      <c r="L158" s="623"/>
      <c r="M158" s="625"/>
      <c r="N158" s="626"/>
      <c r="O158" s="20"/>
      <c r="Q158" s="574">
        <f t="shared" si="39"/>
        <v>0</v>
      </c>
      <c r="R158" s="574">
        <f t="shared" si="40"/>
        <v>0</v>
      </c>
    </row>
    <row r="159" spans="1:18">
      <c r="A159" s="541" t="s">
        <v>469</v>
      </c>
      <c r="B159" s="542" t="s">
        <v>243</v>
      </c>
      <c r="C159" s="539"/>
      <c r="D159" s="539"/>
      <c r="E159" s="3">
        <v>1</v>
      </c>
      <c r="F159" s="8">
        <v>0.71</v>
      </c>
      <c r="G159" s="8">
        <v>1</v>
      </c>
      <c r="H159" s="8"/>
      <c r="I159" s="8"/>
      <c r="J159" s="372">
        <f t="shared" si="43"/>
        <v>0.71</v>
      </c>
      <c r="K159" s="31"/>
      <c r="L159" s="8"/>
      <c r="M159" s="7"/>
      <c r="N159" s="9" t="str">
        <f t="shared" si="44"/>
        <v/>
      </c>
      <c r="O159" s="20"/>
      <c r="Q159" s="574">
        <f t="shared" si="39"/>
        <v>0.71</v>
      </c>
      <c r="R159" s="574">
        <f t="shared" si="40"/>
        <v>0</v>
      </c>
    </row>
    <row r="160" spans="1:18">
      <c r="A160" s="541" t="s">
        <v>469</v>
      </c>
      <c r="B160" s="542" t="s">
        <v>245</v>
      </c>
      <c r="C160" s="539"/>
      <c r="D160" s="539"/>
      <c r="E160" s="3">
        <v>1</v>
      </c>
      <c r="F160" s="8">
        <v>0.68</v>
      </c>
      <c r="G160" s="8">
        <v>1</v>
      </c>
      <c r="H160" s="8"/>
      <c r="I160" s="8"/>
      <c r="J160" s="372">
        <f t="shared" si="43"/>
        <v>0.68</v>
      </c>
      <c r="K160" s="31"/>
      <c r="L160" s="8"/>
      <c r="M160" s="7"/>
      <c r="N160" s="9" t="str">
        <f t="shared" si="44"/>
        <v/>
      </c>
      <c r="O160" s="20"/>
      <c r="Q160" s="574">
        <f t="shared" si="39"/>
        <v>0.68</v>
      </c>
      <c r="R160" s="574">
        <f t="shared" si="40"/>
        <v>0</v>
      </c>
    </row>
    <row r="161" spans="1:18">
      <c r="A161" s="541" t="s">
        <v>469</v>
      </c>
      <c r="B161" s="542" t="s">
        <v>73</v>
      </c>
      <c r="C161" s="539"/>
      <c r="D161" s="539"/>
      <c r="E161" s="3">
        <v>1</v>
      </c>
      <c r="F161" s="8">
        <v>1.1299999999999999</v>
      </c>
      <c r="G161" s="8">
        <v>1</v>
      </c>
      <c r="H161" s="8"/>
      <c r="I161" s="8"/>
      <c r="J161" s="372">
        <f t="shared" si="43"/>
        <v>1.1299999999999999</v>
      </c>
      <c r="K161" s="31"/>
      <c r="L161" s="8"/>
      <c r="M161" s="7"/>
      <c r="N161" s="9" t="str">
        <f t="shared" si="44"/>
        <v/>
      </c>
      <c r="O161" s="20"/>
      <c r="Q161" s="574">
        <f t="shared" si="39"/>
        <v>1.1299999999999999</v>
      </c>
      <c r="R161" s="574">
        <f t="shared" si="40"/>
        <v>0</v>
      </c>
    </row>
    <row r="162" spans="1:18">
      <c r="A162" s="541" t="s">
        <v>469</v>
      </c>
      <c r="B162" s="542" t="s">
        <v>247</v>
      </c>
      <c r="C162" s="539"/>
      <c r="D162" s="539"/>
      <c r="E162" s="3">
        <v>1</v>
      </c>
      <c r="F162" s="8">
        <v>2.37</v>
      </c>
      <c r="G162" s="5">
        <v>1</v>
      </c>
      <c r="H162" s="8"/>
      <c r="I162" s="5"/>
      <c r="J162" s="372">
        <f t="shared" si="43"/>
        <v>2.37</v>
      </c>
      <c r="K162" s="31"/>
      <c r="L162" s="8"/>
      <c r="M162" s="7"/>
      <c r="N162" s="9" t="str">
        <f t="shared" si="44"/>
        <v/>
      </c>
      <c r="O162" s="20"/>
      <c r="Q162" s="574">
        <f t="shared" si="39"/>
        <v>2.37</v>
      </c>
      <c r="R162" s="574">
        <f t="shared" si="40"/>
        <v>0</v>
      </c>
    </row>
    <row r="163" spans="1:18">
      <c r="A163" s="541" t="s">
        <v>469</v>
      </c>
      <c r="B163" s="542" t="s">
        <v>72</v>
      </c>
      <c r="C163" s="539"/>
      <c r="D163" s="539"/>
      <c r="E163" s="3">
        <v>1</v>
      </c>
      <c r="F163" s="8">
        <v>1.19</v>
      </c>
      <c r="G163" s="5">
        <v>1</v>
      </c>
      <c r="H163" s="8"/>
      <c r="I163" s="5"/>
      <c r="J163" s="372">
        <f t="shared" si="43"/>
        <v>1.19</v>
      </c>
      <c r="K163" s="31"/>
      <c r="L163" s="8"/>
      <c r="M163" s="7"/>
      <c r="N163" s="9" t="str">
        <f t="shared" si="44"/>
        <v/>
      </c>
      <c r="O163" s="20"/>
      <c r="Q163" s="574">
        <f t="shared" si="39"/>
        <v>1.19</v>
      </c>
      <c r="R163" s="574">
        <f t="shared" si="40"/>
        <v>0</v>
      </c>
    </row>
    <row r="164" spans="1:18">
      <c r="A164" s="541" t="s">
        <v>469</v>
      </c>
      <c r="B164" s="542" t="s">
        <v>249</v>
      </c>
      <c r="C164" s="539"/>
      <c r="D164" s="539"/>
      <c r="E164" s="3">
        <v>1</v>
      </c>
      <c r="F164" s="8">
        <v>0.78</v>
      </c>
      <c r="G164" s="5">
        <v>1</v>
      </c>
      <c r="H164" s="8"/>
      <c r="I164" s="5"/>
      <c r="J164" s="372">
        <f t="shared" si="36"/>
        <v>0.78</v>
      </c>
      <c r="K164" s="31"/>
      <c r="L164" s="8"/>
      <c r="M164" s="7"/>
      <c r="N164" s="9" t="str">
        <f t="shared" si="37"/>
        <v/>
      </c>
      <c r="O164" s="20"/>
      <c r="Q164" s="574">
        <f t="shared" si="39"/>
        <v>0.78</v>
      </c>
      <c r="R164" s="574">
        <f t="shared" si="40"/>
        <v>0</v>
      </c>
    </row>
    <row r="165" spans="1:18">
      <c r="A165" s="541" t="s">
        <v>469</v>
      </c>
      <c r="B165" s="542" t="s">
        <v>75</v>
      </c>
      <c r="C165" s="539"/>
      <c r="D165" s="539"/>
      <c r="E165" s="3">
        <v>1</v>
      </c>
      <c r="F165" s="8">
        <v>0.28000000000000003</v>
      </c>
      <c r="G165" s="5">
        <v>1</v>
      </c>
      <c r="H165" s="8"/>
      <c r="I165" s="5"/>
      <c r="J165" s="372">
        <f>(+F165*G165+H165*I165)*E165</f>
        <v>0.28000000000000003</v>
      </c>
      <c r="K165" s="31"/>
      <c r="L165" s="8"/>
      <c r="M165" s="7"/>
      <c r="N165" s="9" t="str">
        <f>IF(K165=0,"",L165*M165*E165)</f>
        <v/>
      </c>
      <c r="O165" s="20"/>
      <c r="Q165" s="574">
        <f t="shared" si="39"/>
        <v>0.28000000000000003</v>
      </c>
      <c r="R165" s="574">
        <f t="shared" si="40"/>
        <v>0</v>
      </c>
    </row>
    <row r="166" spans="1:18">
      <c r="A166" s="628"/>
      <c r="B166" s="629"/>
      <c r="C166" s="630"/>
      <c r="D166" s="630"/>
      <c r="E166" s="3"/>
      <c r="F166" s="623"/>
      <c r="G166" s="5"/>
      <c r="H166" s="623"/>
      <c r="I166" s="5"/>
      <c r="J166" s="631"/>
      <c r="K166" s="632"/>
      <c r="L166" s="623"/>
      <c r="M166" s="625"/>
      <c r="N166" s="626"/>
      <c r="O166" s="20"/>
      <c r="Q166" s="574">
        <f t="shared" si="39"/>
        <v>0</v>
      </c>
      <c r="R166" s="574">
        <f t="shared" si="40"/>
        <v>0</v>
      </c>
    </row>
    <row r="167" spans="1:18">
      <c r="A167" s="541" t="s">
        <v>623</v>
      </c>
      <c r="B167" s="542" t="s">
        <v>251</v>
      </c>
      <c r="C167" s="539"/>
      <c r="D167" s="539"/>
      <c r="E167" s="3">
        <v>1</v>
      </c>
      <c r="F167" s="8">
        <v>28.05</v>
      </c>
      <c r="G167" s="5">
        <v>1</v>
      </c>
      <c r="H167" s="8"/>
      <c r="I167" s="5"/>
      <c r="J167" s="372">
        <f>(+F167*G167+H167*I167)*E167</f>
        <v>28.05</v>
      </c>
      <c r="K167" s="31"/>
      <c r="L167" s="8"/>
      <c r="M167" s="7"/>
      <c r="N167" s="9" t="str">
        <f>IF(K167=0,"",L167*M167*E167)</f>
        <v/>
      </c>
      <c r="O167" s="20"/>
      <c r="Q167" s="574">
        <f t="shared" si="39"/>
        <v>28.05</v>
      </c>
      <c r="R167" s="574">
        <f t="shared" si="40"/>
        <v>0</v>
      </c>
    </row>
    <row r="168" spans="1:18">
      <c r="A168" s="628"/>
      <c r="B168" s="629"/>
      <c r="C168" s="630"/>
      <c r="D168" s="630"/>
      <c r="E168" s="701"/>
      <c r="F168" s="623"/>
      <c r="G168" s="702"/>
      <c r="H168" s="623"/>
      <c r="I168" s="702"/>
      <c r="J168" s="703"/>
      <c r="K168" s="632"/>
      <c r="L168" s="623"/>
      <c r="M168" s="625"/>
      <c r="N168" s="626"/>
      <c r="O168" s="20"/>
      <c r="Q168" s="574">
        <f t="shared" si="39"/>
        <v>0</v>
      </c>
      <c r="R168" s="574">
        <f t="shared" si="40"/>
        <v>0</v>
      </c>
    </row>
    <row r="169" spans="1:18">
      <c r="A169" s="535" t="s">
        <v>159</v>
      </c>
      <c r="B169" s="536" t="s">
        <v>243</v>
      </c>
      <c r="C169" s="540"/>
      <c r="D169" s="540"/>
      <c r="E169" s="3">
        <v>1</v>
      </c>
      <c r="F169" s="8">
        <v>4</v>
      </c>
      <c r="G169" s="5">
        <v>1</v>
      </c>
      <c r="H169" s="8"/>
      <c r="I169" s="5"/>
      <c r="J169" s="371">
        <f>(+F169*G169+H169*I169)*E169</f>
        <v>4</v>
      </c>
      <c r="K169" s="2"/>
      <c r="L169" s="8"/>
      <c r="M169" s="7"/>
      <c r="N169" s="9" t="str">
        <f>IF(K169=0,"",L169*M169*E169)</f>
        <v/>
      </c>
      <c r="O169" s="20" t="s">
        <v>475</v>
      </c>
      <c r="Q169" s="574">
        <f t="shared" si="39"/>
        <v>4</v>
      </c>
      <c r="R169" s="574">
        <f t="shared" si="40"/>
        <v>0</v>
      </c>
    </row>
    <row r="170" spans="1:18">
      <c r="A170" s="541" t="s">
        <v>159</v>
      </c>
      <c r="B170" s="542" t="s">
        <v>250</v>
      </c>
      <c r="C170" s="539"/>
      <c r="D170" s="539"/>
      <c r="E170" s="3">
        <v>1</v>
      </c>
      <c r="F170" s="245">
        <v>12</v>
      </c>
      <c r="G170" s="245">
        <v>1</v>
      </c>
      <c r="H170" s="8"/>
      <c r="I170" s="8"/>
      <c r="J170" s="372">
        <f t="shared" ref="J170" si="45">(+F170*G170+H170*I170)*E170</f>
        <v>12</v>
      </c>
      <c r="K170" s="31"/>
      <c r="L170" s="8"/>
      <c r="M170" s="7"/>
      <c r="N170" s="9" t="str">
        <f t="shared" ref="N170" si="46">IF(K170=0,"",L170*M170*E170)</f>
        <v/>
      </c>
      <c r="O170" s="20" t="s">
        <v>540</v>
      </c>
      <c r="Q170" s="574">
        <f t="shared" si="39"/>
        <v>12</v>
      </c>
      <c r="R170" s="574">
        <f t="shared" si="40"/>
        <v>0</v>
      </c>
    </row>
    <row r="171" spans="1:18">
      <c r="A171" s="541" t="s">
        <v>159</v>
      </c>
      <c r="B171" s="542" t="s">
        <v>74</v>
      </c>
      <c r="C171" s="539"/>
      <c r="D171" s="539"/>
      <c r="E171" s="25">
        <v>1</v>
      </c>
      <c r="F171" s="245">
        <v>8</v>
      </c>
      <c r="G171" s="245">
        <v>1</v>
      </c>
      <c r="H171" s="8"/>
      <c r="I171" s="8"/>
      <c r="J171" s="372">
        <f t="shared" ref="J171:J195" si="47">(+F171*G171+H171*I171)*E171</f>
        <v>8</v>
      </c>
      <c r="K171" s="31"/>
      <c r="L171" s="8"/>
      <c r="M171" s="7"/>
      <c r="N171" s="9" t="str">
        <f t="shared" ref="N171:N195" si="48">IF(K171=0,"",L171*M171*E171)</f>
        <v/>
      </c>
      <c r="O171" s="20" t="s">
        <v>541</v>
      </c>
      <c r="Q171" s="574">
        <f t="shared" si="39"/>
        <v>8</v>
      </c>
      <c r="R171" s="574">
        <f t="shared" si="40"/>
        <v>0</v>
      </c>
    </row>
    <row r="172" spans="1:18">
      <c r="A172" s="541"/>
      <c r="B172" s="542"/>
      <c r="C172" s="539"/>
      <c r="D172" s="539"/>
      <c r="E172" s="25"/>
      <c r="F172" s="245"/>
      <c r="G172" s="245"/>
      <c r="H172" s="8"/>
      <c r="I172" s="8"/>
      <c r="J172" s="372">
        <f t="shared" si="47"/>
        <v>0</v>
      </c>
      <c r="K172" s="31"/>
      <c r="L172" s="8"/>
      <c r="M172" s="7"/>
      <c r="N172" s="9" t="str">
        <f t="shared" si="48"/>
        <v/>
      </c>
      <c r="O172" s="20"/>
      <c r="Q172" s="574">
        <f t="shared" si="39"/>
        <v>0</v>
      </c>
      <c r="R172" s="574">
        <f t="shared" si="40"/>
        <v>0</v>
      </c>
    </row>
    <row r="173" spans="1:18">
      <c r="A173" s="541"/>
      <c r="B173" s="542"/>
      <c r="C173" s="539"/>
      <c r="D173" s="539"/>
      <c r="E173" s="25"/>
      <c r="F173" s="245"/>
      <c r="G173" s="245"/>
      <c r="H173" s="8"/>
      <c r="I173" s="8"/>
      <c r="J173" s="372">
        <f t="shared" si="47"/>
        <v>0</v>
      </c>
      <c r="K173" s="31"/>
      <c r="L173" s="8"/>
      <c r="M173" s="7"/>
      <c r="N173" s="9" t="str">
        <f t="shared" si="48"/>
        <v/>
      </c>
      <c r="O173" s="20"/>
      <c r="Q173" s="574">
        <f t="shared" si="39"/>
        <v>0</v>
      </c>
      <c r="R173" s="574">
        <f t="shared" si="40"/>
        <v>0</v>
      </c>
    </row>
    <row r="174" spans="1:18">
      <c r="A174" s="541"/>
      <c r="B174" s="542"/>
      <c r="C174" s="539"/>
      <c r="D174" s="539"/>
      <c r="E174" s="25"/>
      <c r="F174" s="245"/>
      <c r="G174" s="245"/>
      <c r="H174" s="8"/>
      <c r="I174" s="8"/>
      <c r="J174" s="372">
        <f t="shared" si="47"/>
        <v>0</v>
      </c>
      <c r="K174" s="31"/>
      <c r="L174" s="8"/>
      <c r="M174" s="7"/>
      <c r="N174" s="9" t="str">
        <f t="shared" si="48"/>
        <v/>
      </c>
      <c r="O174" s="20"/>
      <c r="Q174" s="574">
        <f t="shared" si="39"/>
        <v>0</v>
      </c>
      <c r="R174" s="574">
        <f t="shared" si="40"/>
        <v>0</v>
      </c>
    </row>
    <row r="175" spans="1:18">
      <c r="A175" s="541"/>
      <c r="B175" s="542"/>
      <c r="C175" s="539"/>
      <c r="D175" s="539"/>
      <c r="E175" s="25"/>
      <c r="F175" s="245"/>
      <c r="G175" s="245"/>
      <c r="H175" s="8"/>
      <c r="I175" s="8"/>
      <c r="J175" s="372">
        <f t="shared" si="47"/>
        <v>0</v>
      </c>
      <c r="K175" s="31"/>
      <c r="L175" s="8"/>
      <c r="M175" s="7"/>
      <c r="N175" s="9" t="str">
        <f t="shared" si="48"/>
        <v/>
      </c>
      <c r="O175" s="20"/>
      <c r="Q175" s="574">
        <f t="shared" si="39"/>
        <v>0</v>
      </c>
      <c r="R175" s="574">
        <f t="shared" si="40"/>
        <v>0</v>
      </c>
    </row>
    <row r="176" spans="1:18">
      <c r="A176" s="541"/>
      <c r="B176" s="542"/>
      <c r="C176" s="539"/>
      <c r="D176" s="539"/>
      <c r="E176" s="25"/>
      <c r="F176" s="245"/>
      <c r="G176" s="245"/>
      <c r="H176" s="8"/>
      <c r="I176" s="8"/>
      <c r="J176" s="372">
        <f t="shared" si="47"/>
        <v>0</v>
      </c>
      <c r="K176" s="31"/>
      <c r="L176" s="8"/>
      <c r="M176" s="7"/>
      <c r="N176" s="9" t="str">
        <f t="shared" si="48"/>
        <v/>
      </c>
      <c r="O176" s="20"/>
      <c r="Q176" s="574">
        <f t="shared" si="39"/>
        <v>0</v>
      </c>
      <c r="R176" s="574">
        <f t="shared" si="40"/>
        <v>0</v>
      </c>
    </row>
    <row r="177" spans="1:18">
      <c r="A177" s="541"/>
      <c r="B177" s="542"/>
      <c r="C177" s="539"/>
      <c r="D177" s="539"/>
      <c r="E177" s="25"/>
      <c r="F177" s="245"/>
      <c r="G177" s="245"/>
      <c r="H177" s="8"/>
      <c r="I177" s="8"/>
      <c r="J177" s="372">
        <f t="shared" si="47"/>
        <v>0</v>
      </c>
      <c r="K177" s="31"/>
      <c r="L177" s="8"/>
      <c r="M177" s="7"/>
      <c r="N177" s="9" t="str">
        <f t="shared" si="48"/>
        <v/>
      </c>
      <c r="O177" s="20"/>
      <c r="Q177" s="574">
        <f t="shared" si="39"/>
        <v>0</v>
      </c>
      <c r="R177" s="574">
        <f t="shared" si="40"/>
        <v>0</v>
      </c>
    </row>
    <row r="178" spans="1:18">
      <c r="A178" s="541"/>
      <c r="B178" s="542"/>
      <c r="C178" s="539"/>
      <c r="D178" s="539"/>
      <c r="E178" s="25"/>
      <c r="F178" s="245"/>
      <c r="G178" s="245"/>
      <c r="H178" s="8"/>
      <c r="I178" s="8"/>
      <c r="J178" s="372">
        <f t="shared" si="47"/>
        <v>0</v>
      </c>
      <c r="K178" s="31"/>
      <c r="L178" s="8"/>
      <c r="M178" s="7"/>
      <c r="N178" s="9" t="str">
        <f t="shared" si="48"/>
        <v/>
      </c>
      <c r="O178" s="20"/>
      <c r="Q178" s="574">
        <f t="shared" si="39"/>
        <v>0</v>
      </c>
      <c r="R178" s="574">
        <f t="shared" si="40"/>
        <v>0</v>
      </c>
    </row>
    <row r="179" spans="1:18">
      <c r="A179" s="541"/>
      <c r="B179" s="542"/>
      <c r="C179" s="539"/>
      <c r="D179" s="539"/>
      <c r="E179" s="25"/>
      <c r="F179" s="245"/>
      <c r="G179" s="245"/>
      <c r="H179" s="8"/>
      <c r="I179" s="8"/>
      <c r="J179" s="372">
        <f t="shared" si="47"/>
        <v>0</v>
      </c>
      <c r="K179" s="31"/>
      <c r="L179" s="8"/>
      <c r="M179" s="7"/>
      <c r="N179" s="9" t="str">
        <f t="shared" si="48"/>
        <v/>
      </c>
      <c r="O179" s="20"/>
      <c r="Q179" s="574">
        <f t="shared" si="39"/>
        <v>0</v>
      </c>
      <c r="R179" s="574">
        <f t="shared" si="40"/>
        <v>0</v>
      </c>
    </row>
    <row r="180" spans="1:18">
      <c r="A180" s="541"/>
      <c r="B180" s="542"/>
      <c r="C180" s="539"/>
      <c r="D180" s="539"/>
      <c r="E180" s="25"/>
      <c r="F180" s="245"/>
      <c r="G180" s="245"/>
      <c r="H180" s="8"/>
      <c r="I180" s="8"/>
      <c r="J180" s="372">
        <f t="shared" si="47"/>
        <v>0</v>
      </c>
      <c r="K180" s="31"/>
      <c r="L180" s="8"/>
      <c r="M180" s="7"/>
      <c r="N180" s="9" t="str">
        <f t="shared" si="48"/>
        <v/>
      </c>
      <c r="O180" s="20"/>
      <c r="Q180" s="574">
        <f t="shared" si="39"/>
        <v>0</v>
      </c>
      <c r="R180" s="574">
        <f t="shared" si="40"/>
        <v>0</v>
      </c>
    </row>
    <row r="181" spans="1:18">
      <c r="A181" s="541"/>
      <c r="B181" s="542"/>
      <c r="C181" s="539"/>
      <c r="D181" s="539"/>
      <c r="E181" s="25"/>
      <c r="F181" s="245"/>
      <c r="G181" s="245"/>
      <c r="H181" s="8"/>
      <c r="I181" s="8"/>
      <c r="J181" s="372">
        <f t="shared" si="47"/>
        <v>0</v>
      </c>
      <c r="K181" s="31"/>
      <c r="L181" s="8"/>
      <c r="M181" s="7"/>
      <c r="N181" s="9" t="str">
        <f t="shared" si="48"/>
        <v/>
      </c>
      <c r="O181" s="20"/>
      <c r="Q181" s="574">
        <f t="shared" si="39"/>
        <v>0</v>
      </c>
      <c r="R181" s="574">
        <f t="shared" si="40"/>
        <v>0</v>
      </c>
    </row>
    <row r="182" spans="1:18">
      <c r="A182" s="541"/>
      <c r="B182" s="542"/>
      <c r="C182" s="539"/>
      <c r="D182" s="539"/>
      <c r="E182" s="25"/>
      <c r="F182" s="245"/>
      <c r="G182" s="245"/>
      <c r="H182" s="8"/>
      <c r="I182" s="8"/>
      <c r="J182" s="372">
        <f t="shared" si="47"/>
        <v>0</v>
      </c>
      <c r="K182" s="31"/>
      <c r="L182" s="8"/>
      <c r="M182" s="7"/>
      <c r="N182" s="9" t="str">
        <f t="shared" si="48"/>
        <v/>
      </c>
      <c r="O182" s="20"/>
      <c r="Q182" s="574">
        <f t="shared" si="39"/>
        <v>0</v>
      </c>
      <c r="R182" s="574">
        <f t="shared" si="40"/>
        <v>0</v>
      </c>
    </row>
    <row r="183" spans="1:18">
      <c r="A183" s="541"/>
      <c r="B183" s="542"/>
      <c r="C183" s="539"/>
      <c r="D183" s="539"/>
      <c r="E183" s="25"/>
      <c r="F183" s="245"/>
      <c r="G183" s="245"/>
      <c r="H183" s="8"/>
      <c r="I183" s="8"/>
      <c r="J183" s="372">
        <f t="shared" si="47"/>
        <v>0</v>
      </c>
      <c r="K183" s="31"/>
      <c r="L183" s="8"/>
      <c r="M183" s="7"/>
      <c r="N183" s="9" t="str">
        <f t="shared" si="48"/>
        <v/>
      </c>
      <c r="O183" s="20"/>
      <c r="Q183" s="574">
        <f t="shared" si="39"/>
        <v>0</v>
      </c>
      <c r="R183" s="574">
        <f t="shared" si="40"/>
        <v>0</v>
      </c>
    </row>
    <row r="184" spans="1:18">
      <c r="A184" s="541"/>
      <c r="B184" s="542"/>
      <c r="C184" s="539"/>
      <c r="D184" s="539"/>
      <c r="E184" s="25"/>
      <c r="F184" s="245"/>
      <c r="G184" s="245"/>
      <c r="H184" s="8"/>
      <c r="I184" s="8"/>
      <c r="J184" s="372">
        <f t="shared" si="47"/>
        <v>0</v>
      </c>
      <c r="K184" s="31"/>
      <c r="L184" s="8"/>
      <c r="M184" s="7"/>
      <c r="N184" s="9" t="str">
        <f t="shared" si="48"/>
        <v/>
      </c>
      <c r="O184" s="20"/>
      <c r="Q184" s="574">
        <f t="shared" si="39"/>
        <v>0</v>
      </c>
      <c r="R184" s="574">
        <f t="shared" si="40"/>
        <v>0</v>
      </c>
    </row>
    <row r="185" spans="1:18">
      <c r="A185" s="541"/>
      <c r="B185" s="542"/>
      <c r="C185" s="539"/>
      <c r="D185" s="539"/>
      <c r="E185" s="25"/>
      <c r="F185" s="245"/>
      <c r="G185" s="245"/>
      <c r="H185" s="8"/>
      <c r="I185" s="8"/>
      <c r="J185" s="372">
        <f t="shared" si="47"/>
        <v>0</v>
      </c>
      <c r="K185" s="31"/>
      <c r="L185" s="8"/>
      <c r="M185" s="7"/>
      <c r="N185" s="9" t="str">
        <f t="shared" si="48"/>
        <v/>
      </c>
      <c r="O185" s="20"/>
      <c r="Q185" s="574">
        <f t="shared" si="39"/>
        <v>0</v>
      </c>
      <c r="R185" s="574">
        <f t="shared" si="40"/>
        <v>0</v>
      </c>
    </row>
    <row r="186" spans="1:18">
      <c r="A186" s="541"/>
      <c r="B186" s="542"/>
      <c r="C186" s="539"/>
      <c r="D186" s="539"/>
      <c r="E186" s="25"/>
      <c r="F186" s="245"/>
      <c r="G186" s="245"/>
      <c r="H186" s="8"/>
      <c r="I186" s="8"/>
      <c r="J186" s="372">
        <f t="shared" si="47"/>
        <v>0</v>
      </c>
      <c r="K186" s="31"/>
      <c r="L186" s="8"/>
      <c r="M186" s="7"/>
      <c r="N186" s="9" t="str">
        <f t="shared" si="48"/>
        <v/>
      </c>
      <c r="O186" s="20"/>
      <c r="Q186" s="574">
        <f t="shared" si="39"/>
        <v>0</v>
      </c>
      <c r="R186" s="574">
        <f t="shared" si="40"/>
        <v>0</v>
      </c>
    </row>
    <row r="187" spans="1:18">
      <c r="A187" s="541"/>
      <c r="B187" s="542"/>
      <c r="C187" s="539"/>
      <c r="D187" s="539"/>
      <c r="E187" s="25"/>
      <c r="F187" s="245"/>
      <c r="G187" s="245"/>
      <c r="H187" s="8"/>
      <c r="I187" s="8"/>
      <c r="J187" s="372">
        <f t="shared" si="47"/>
        <v>0</v>
      </c>
      <c r="K187" s="31"/>
      <c r="L187" s="8"/>
      <c r="M187" s="7"/>
      <c r="N187" s="9" t="str">
        <f t="shared" si="48"/>
        <v/>
      </c>
      <c r="O187" s="20"/>
      <c r="Q187" s="574">
        <f t="shared" si="39"/>
        <v>0</v>
      </c>
      <c r="R187" s="574">
        <f t="shared" si="40"/>
        <v>0</v>
      </c>
    </row>
    <row r="188" spans="1:18">
      <c r="A188" s="541"/>
      <c r="B188" s="542"/>
      <c r="C188" s="539"/>
      <c r="D188" s="539"/>
      <c r="E188" s="25"/>
      <c r="F188" s="245"/>
      <c r="G188" s="245"/>
      <c r="H188" s="8"/>
      <c r="I188" s="8"/>
      <c r="J188" s="372">
        <f t="shared" si="47"/>
        <v>0</v>
      </c>
      <c r="K188" s="31"/>
      <c r="L188" s="8"/>
      <c r="M188" s="7"/>
      <c r="N188" s="9" t="str">
        <f t="shared" si="48"/>
        <v/>
      </c>
      <c r="O188" s="20"/>
      <c r="Q188" s="574">
        <f t="shared" si="39"/>
        <v>0</v>
      </c>
      <c r="R188" s="574">
        <f t="shared" si="40"/>
        <v>0</v>
      </c>
    </row>
    <row r="189" spans="1:18">
      <c r="A189" s="541"/>
      <c r="B189" s="542"/>
      <c r="C189" s="539"/>
      <c r="D189" s="539"/>
      <c r="E189" s="25"/>
      <c r="F189" s="245"/>
      <c r="G189" s="245"/>
      <c r="H189" s="8"/>
      <c r="I189" s="8"/>
      <c r="J189" s="372">
        <f t="shared" si="47"/>
        <v>0</v>
      </c>
      <c r="K189" s="31"/>
      <c r="L189" s="8"/>
      <c r="M189" s="7"/>
      <c r="N189" s="9" t="str">
        <f t="shared" si="48"/>
        <v/>
      </c>
      <c r="O189" s="20"/>
      <c r="Q189" s="574">
        <f t="shared" si="39"/>
        <v>0</v>
      </c>
      <c r="R189" s="574">
        <f t="shared" si="40"/>
        <v>0</v>
      </c>
    </row>
    <row r="190" spans="1:18">
      <c r="A190" s="541"/>
      <c r="B190" s="542"/>
      <c r="C190" s="539"/>
      <c r="D190" s="539"/>
      <c r="E190" s="25"/>
      <c r="F190" s="245"/>
      <c r="G190" s="245"/>
      <c r="H190" s="8"/>
      <c r="I190" s="8"/>
      <c r="J190" s="372">
        <f t="shared" si="47"/>
        <v>0</v>
      </c>
      <c r="K190" s="31"/>
      <c r="L190" s="8"/>
      <c r="M190" s="7"/>
      <c r="N190" s="9" t="str">
        <f t="shared" si="48"/>
        <v/>
      </c>
      <c r="O190" s="20"/>
      <c r="Q190" s="574">
        <f t="shared" si="39"/>
        <v>0</v>
      </c>
      <c r="R190" s="574">
        <f t="shared" si="40"/>
        <v>0</v>
      </c>
    </row>
    <row r="191" spans="1:18">
      <c r="A191" s="541"/>
      <c r="B191" s="542"/>
      <c r="C191" s="539"/>
      <c r="D191" s="539"/>
      <c r="E191" s="25"/>
      <c r="F191" s="245"/>
      <c r="G191" s="245"/>
      <c r="H191" s="8"/>
      <c r="I191" s="8"/>
      <c r="J191" s="372">
        <f t="shared" si="47"/>
        <v>0</v>
      </c>
      <c r="K191" s="31"/>
      <c r="L191" s="8"/>
      <c r="M191" s="7"/>
      <c r="N191" s="9" t="str">
        <f t="shared" si="48"/>
        <v/>
      </c>
      <c r="O191" s="20"/>
      <c r="Q191" s="574">
        <f t="shared" si="39"/>
        <v>0</v>
      </c>
      <c r="R191" s="574">
        <f t="shared" si="40"/>
        <v>0</v>
      </c>
    </row>
    <row r="192" spans="1:18">
      <c r="A192" s="541"/>
      <c r="B192" s="542"/>
      <c r="C192" s="539"/>
      <c r="D192" s="539"/>
      <c r="E192" s="25"/>
      <c r="F192" s="245"/>
      <c r="G192" s="245"/>
      <c r="H192" s="8"/>
      <c r="I192" s="8"/>
      <c r="J192" s="372">
        <f t="shared" si="47"/>
        <v>0</v>
      </c>
      <c r="K192" s="31"/>
      <c r="L192" s="8"/>
      <c r="M192" s="7"/>
      <c r="N192" s="9" t="str">
        <f t="shared" si="48"/>
        <v/>
      </c>
      <c r="O192" s="20"/>
      <c r="Q192" s="574">
        <f t="shared" si="39"/>
        <v>0</v>
      </c>
      <c r="R192" s="574">
        <f t="shared" si="40"/>
        <v>0</v>
      </c>
    </row>
    <row r="193" spans="1:18">
      <c r="A193" s="541"/>
      <c r="B193" s="542"/>
      <c r="C193" s="539"/>
      <c r="D193" s="539"/>
      <c r="E193" s="25"/>
      <c r="F193" s="245"/>
      <c r="G193" s="245"/>
      <c r="H193" s="8"/>
      <c r="I193" s="8"/>
      <c r="J193" s="372">
        <f t="shared" si="47"/>
        <v>0</v>
      </c>
      <c r="K193" s="31"/>
      <c r="L193" s="8"/>
      <c r="M193" s="7"/>
      <c r="N193" s="9" t="str">
        <f t="shared" si="48"/>
        <v/>
      </c>
      <c r="O193" s="20"/>
      <c r="Q193" s="574">
        <f t="shared" si="39"/>
        <v>0</v>
      </c>
      <c r="R193" s="574">
        <f t="shared" si="40"/>
        <v>0</v>
      </c>
    </row>
    <row r="194" spans="1:18">
      <c r="A194" s="541"/>
      <c r="B194" s="542"/>
      <c r="C194" s="539"/>
      <c r="D194" s="539"/>
      <c r="E194" s="25"/>
      <c r="F194" s="245"/>
      <c r="G194" s="245"/>
      <c r="H194" s="8"/>
      <c r="I194" s="8"/>
      <c r="J194" s="372">
        <f t="shared" si="47"/>
        <v>0</v>
      </c>
      <c r="K194" s="31"/>
      <c r="L194" s="8"/>
      <c r="M194" s="7"/>
      <c r="N194" s="9" t="str">
        <f t="shared" si="48"/>
        <v/>
      </c>
      <c r="O194" s="20"/>
      <c r="Q194" s="574">
        <f t="shared" si="39"/>
        <v>0</v>
      </c>
      <c r="R194" s="574">
        <f t="shared" si="40"/>
        <v>0</v>
      </c>
    </row>
    <row r="195" spans="1:18" ht="14.25" thickBot="1">
      <c r="A195" s="543"/>
      <c r="B195" s="544"/>
      <c r="C195" s="545"/>
      <c r="D195" s="545"/>
      <c r="E195" s="27"/>
      <c r="F195" s="246"/>
      <c r="G195" s="246"/>
      <c r="H195" s="29"/>
      <c r="I195" s="29"/>
      <c r="J195" s="373">
        <f t="shared" si="47"/>
        <v>0</v>
      </c>
      <c r="K195" s="26"/>
      <c r="L195" s="29"/>
      <c r="M195" s="28"/>
      <c r="N195" s="30" t="str">
        <f t="shared" si="48"/>
        <v/>
      </c>
      <c r="O195" s="21"/>
      <c r="Q195" s="574">
        <f t="shared" si="39"/>
        <v>0</v>
      </c>
      <c r="R195" s="574">
        <f t="shared" si="40"/>
        <v>0</v>
      </c>
    </row>
  </sheetData>
  <sheetProtection sheet="1" objects="1" scenarios="1" selectLockedCells="1"/>
  <mergeCells count="15">
    <mergeCell ref="A2:A4"/>
    <mergeCell ref="B2:B4"/>
    <mergeCell ref="C2:C4"/>
    <mergeCell ref="D2:D4"/>
    <mergeCell ref="E2:E4"/>
    <mergeCell ref="O2:O4"/>
    <mergeCell ref="F3:G3"/>
    <mergeCell ref="H3:I3"/>
    <mergeCell ref="J3:J4"/>
    <mergeCell ref="K3:K4"/>
    <mergeCell ref="L3:L4"/>
    <mergeCell ref="M3:M4"/>
    <mergeCell ref="N3:N4"/>
    <mergeCell ref="F2:J2"/>
    <mergeCell ref="K2:N2"/>
  </mergeCells>
  <phoneticPr fontId="14"/>
  <dataValidations count="5">
    <dataValidation type="list" allowBlank="1" showErrorMessage="1" sqref="K5:K195">
      <formula1>燃料種類</formula1>
      <formula2>0</formula2>
    </dataValidation>
    <dataValidation type="list" allowBlank="1" showErrorMessage="1" sqref="B5:B195">
      <formula1>月旬</formula1>
      <formula2>0</formula2>
    </dataValidation>
    <dataValidation type="list" allowBlank="1" showErrorMessage="1" sqref="A5:A195">
      <formula1>作業名</formula1>
      <formula2>0</formula2>
    </dataValidation>
    <dataValidation type="list" allowBlank="1" showInputMessage="1" showErrorMessage="1" sqref="C5:C195">
      <formula1>機械</formula1>
    </dataValidation>
    <dataValidation type="list" allowBlank="1" showInputMessage="1" showErrorMessage="1" sqref="D5:D195">
      <formula1>機械能力</formula1>
    </dataValidation>
  </dataValidations>
  <printOptions horizontalCentered="1"/>
  <pageMargins left="0.25" right="0.25" top="0.75" bottom="0.75" header="0.3" footer="0.3"/>
  <pageSetup paperSize="9" scale="85" firstPageNumber="0" fitToHeight="0" orientation="landscape" cellComments="asDisplayed" verticalDpi="300" r:id="rId1"/>
  <headerFooter alignWithMargins="0">
    <oddHeader>&amp;L&amp;D&amp;F &amp;A</oddHeader>
    <oddFooter>&amp;C&amp;14&amp;P/&amp;N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22"/>
  <sheetViews>
    <sheetView workbookViewId="0">
      <pane xSplit="1" ySplit="7" topLeftCell="B15" activePane="bottomRight" state="frozen"/>
      <selection pane="topRight" activeCell="B1" sqref="B1"/>
      <selection pane="bottomLeft" activeCell="A8" sqref="A8"/>
      <selection pane="bottomRight" activeCell="H4" sqref="H4"/>
    </sheetView>
  </sheetViews>
  <sheetFormatPr defaultRowHeight="13.5"/>
  <cols>
    <col min="1" max="1" width="9" style="277"/>
    <col min="2" max="7" width="12.625" style="277" customWidth="1"/>
    <col min="8" max="8" width="48.5" style="277" customWidth="1"/>
    <col min="9" max="9" width="9" style="277"/>
    <col min="10" max="10" width="24.125" style="277" customWidth="1"/>
    <col min="11" max="13" width="9" style="277"/>
    <col min="14" max="14" width="13.125" style="277" customWidth="1"/>
    <col min="15" max="15" width="12.625" style="277" bestFit="1" customWidth="1"/>
    <col min="16" max="16" width="13.125" style="277" bestFit="1" customWidth="1"/>
    <col min="17" max="17" width="15.5" style="277" bestFit="1" customWidth="1"/>
    <col min="18" max="16384" width="9" style="277"/>
  </cols>
  <sheetData>
    <row r="1" spans="1:17" ht="17.25">
      <c r="A1" s="281"/>
    </row>
    <row r="2" spans="1:17" ht="14.25" thickBot="1">
      <c r="A2" s="83"/>
      <c r="B2" s="583" t="s">
        <v>506</v>
      </c>
      <c r="C2" s="584"/>
      <c r="D2" s="584"/>
      <c r="E2" s="280"/>
      <c r="F2" s="585" t="s">
        <v>507</v>
      </c>
    </row>
    <row r="3" spans="1:17" ht="14.25" thickBot="1">
      <c r="A3" s="83"/>
      <c r="B3" s="615" t="s">
        <v>496</v>
      </c>
      <c r="C3" s="588">
        <v>5000</v>
      </c>
      <c r="D3" s="586" t="s">
        <v>497</v>
      </c>
      <c r="E3" s="280"/>
      <c r="F3" s="587">
        <v>0.8</v>
      </c>
    </row>
    <row r="5" spans="1:17" ht="14.25" thickBot="1"/>
    <row r="6" spans="1:17" ht="18" customHeight="1">
      <c r="A6" s="465"/>
      <c r="B6" s="874" t="s">
        <v>431</v>
      </c>
      <c r="C6" s="875"/>
      <c r="D6" s="876"/>
      <c r="E6" s="872" t="s">
        <v>433</v>
      </c>
      <c r="F6" s="877" t="s">
        <v>434</v>
      </c>
      <c r="G6" s="872" t="s">
        <v>486</v>
      </c>
      <c r="H6" s="879" t="s">
        <v>509</v>
      </c>
      <c r="I6" s="278"/>
    </row>
    <row r="7" spans="1:17" ht="18" customHeight="1" thickBot="1">
      <c r="A7" s="466" t="s">
        <v>407</v>
      </c>
      <c r="B7" s="532" t="s">
        <v>487</v>
      </c>
      <c r="C7" s="533" t="s">
        <v>488</v>
      </c>
      <c r="D7" s="534" t="s">
        <v>408</v>
      </c>
      <c r="E7" s="873"/>
      <c r="F7" s="878"/>
      <c r="G7" s="873"/>
      <c r="H7" s="880"/>
      <c r="I7" s="279"/>
    </row>
    <row r="8" spans="1:17" ht="18" customHeight="1">
      <c r="A8" s="467">
        <v>1</v>
      </c>
      <c r="B8" s="487"/>
      <c r="C8" s="488"/>
      <c r="D8" s="489">
        <f>B8*C8</f>
        <v>0</v>
      </c>
      <c r="E8" s="500"/>
      <c r="F8" s="501"/>
      <c r="G8" s="502">
        <f>SUM(D8:F8)</f>
        <v>0</v>
      </c>
      <c r="H8" s="618"/>
      <c r="I8" s="280"/>
      <c r="Q8" s="85"/>
    </row>
    <row r="9" spans="1:17" ht="18" customHeight="1">
      <c r="A9" s="468">
        <v>2</v>
      </c>
      <c r="B9" s="490"/>
      <c r="C9" s="491"/>
      <c r="D9" s="492">
        <f t="shared" ref="D9:D13" si="0">B9*C9</f>
        <v>0</v>
      </c>
      <c r="E9" s="503"/>
      <c r="F9" s="504"/>
      <c r="G9" s="505">
        <f t="shared" ref="G9:G20" si="1">SUM(D9:F9)</f>
        <v>0</v>
      </c>
      <c r="H9" s="612"/>
      <c r="I9" s="280"/>
      <c r="Q9" s="85"/>
    </row>
    <row r="10" spans="1:17" ht="18" customHeight="1">
      <c r="A10" s="468">
        <v>3</v>
      </c>
      <c r="B10" s="490"/>
      <c r="C10" s="491"/>
      <c r="D10" s="492">
        <f t="shared" si="0"/>
        <v>0</v>
      </c>
      <c r="E10" s="503"/>
      <c r="F10" s="504"/>
      <c r="G10" s="505">
        <f t="shared" si="1"/>
        <v>0</v>
      </c>
      <c r="H10" s="612"/>
      <c r="I10" s="280"/>
    </row>
    <row r="11" spans="1:17" ht="18" customHeight="1">
      <c r="A11" s="468">
        <v>4</v>
      </c>
      <c r="B11" s="490"/>
      <c r="C11" s="491"/>
      <c r="D11" s="492">
        <f t="shared" si="0"/>
        <v>0</v>
      </c>
      <c r="E11" s="503"/>
      <c r="F11" s="504"/>
      <c r="G11" s="505">
        <f t="shared" si="1"/>
        <v>0</v>
      </c>
      <c r="H11" s="612"/>
      <c r="I11" s="280"/>
    </row>
    <row r="12" spans="1:17" ht="18" customHeight="1">
      <c r="A12" s="468">
        <v>5</v>
      </c>
      <c r="B12" s="490"/>
      <c r="C12" s="491"/>
      <c r="D12" s="492">
        <f t="shared" si="0"/>
        <v>0</v>
      </c>
      <c r="E12" s="503"/>
      <c r="F12" s="504"/>
      <c r="G12" s="505">
        <f t="shared" si="1"/>
        <v>0</v>
      </c>
      <c r="H12" s="612"/>
      <c r="I12" s="280"/>
    </row>
    <row r="13" spans="1:17" ht="18" customHeight="1">
      <c r="A13" s="468">
        <v>6</v>
      </c>
      <c r="B13" s="490">
        <v>1600</v>
      </c>
      <c r="C13" s="709">
        <v>320</v>
      </c>
      <c r="D13" s="492">
        <f t="shared" si="0"/>
        <v>512000</v>
      </c>
      <c r="E13" s="503"/>
      <c r="F13" s="504"/>
      <c r="G13" s="505">
        <f t="shared" si="1"/>
        <v>512000</v>
      </c>
      <c r="H13" s="713" t="s">
        <v>526</v>
      </c>
      <c r="I13" s="280"/>
    </row>
    <row r="14" spans="1:17" ht="18" customHeight="1">
      <c r="A14" s="468">
        <v>7</v>
      </c>
      <c r="B14" s="490">
        <v>6000</v>
      </c>
      <c r="C14" s="709">
        <v>214</v>
      </c>
      <c r="D14" s="493">
        <f t="shared" ref="D14:D18" si="2">B14*C14</f>
        <v>1284000</v>
      </c>
      <c r="E14" s="503"/>
      <c r="F14" s="504"/>
      <c r="G14" s="505">
        <f t="shared" si="1"/>
        <v>1284000</v>
      </c>
      <c r="H14" s="612"/>
      <c r="I14" s="280"/>
    </row>
    <row r="15" spans="1:17" ht="18" customHeight="1">
      <c r="A15" s="468">
        <v>8</v>
      </c>
      <c r="B15" s="490"/>
      <c r="C15" s="709"/>
      <c r="D15" s="493"/>
      <c r="E15" s="503"/>
      <c r="F15" s="504"/>
      <c r="G15" s="505"/>
      <c r="H15" s="612"/>
      <c r="I15" s="280"/>
    </row>
    <row r="16" spans="1:17" ht="18" customHeight="1">
      <c r="A16" s="468">
        <v>9</v>
      </c>
      <c r="B16" s="490">
        <v>2300</v>
      </c>
      <c r="C16" s="709">
        <v>388</v>
      </c>
      <c r="D16" s="493">
        <f t="shared" si="2"/>
        <v>892400</v>
      </c>
      <c r="E16" s="503"/>
      <c r="F16" s="504"/>
      <c r="G16" s="505">
        <f t="shared" si="1"/>
        <v>892400</v>
      </c>
      <c r="H16" s="612"/>
      <c r="I16" s="280"/>
    </row>
    <row r="17" spans="1:9" ht="18" customHeight="1">
      <c r="A17" s="468">
        <v>10</v>
      </c>
      <c r="B17" s="490">
        <v>5000</v>
      </c>
      <c r="C17" s="709">
        <v>358</v>
      </c>
      <c r="D17" s="493">
        <f t="shared" si="2"/>
        <v>1790000</v>
      </c>
      <c r="E17" s="503"/>
      <c r="F17" s="504"/>
      <c r="G17" s="505">
        <f t="shared" si="1"/>
        <v>1790000</v>
      </c>
      <c r="H17" s="612"/>
      <c r="I17" s="280"/>
    </row>
    <row r="18" spans="1:9" ht="18" customHeight="1">
      <c r="A18" s="468">
        <v>11</v>
      </c>
      <c r="B18" s="490">
        <v>100</v>
      </c>
      <c r="C18" s="709">
        <v>202</v>
      </c>
      <c r="D18" s="493">
        <f t="shared" si="2"/>
        <v>20200</v>
      </c>
      <c r="E18" s="503"/>
      <c r="F18" s="504"/>
      <c r="G18" s="505">
        <f t="shared" si="1"/>
        <v>20200</v>
      </c>
      <c r="H18" s="612"/>
      <c r="I18" s="280"/>
    </row>
    <row r="19" spans="1:9" ht="18" customHeight="1" thickBot="1">
      <c r="A19" s="469">
        <v>12</v>
      </c>
      <c r="B19" s="706"/>
      <c r="C19" s="710"/>
      <c r="D19" s="494"/>
      <c r="E19" s="506"/>
      <c r="F19" s="507"/>
      <c r="G19" s="508"/>
      <c r="H19" s="613"/>
      <c r="I19" s="280"/>
    </row>
    <row r="20" spans="1:9" ht="18" customHeight="1" thickBot="1">
      <c r="A20" s="471" t="s">
        <v>432</v>
      </c>
      <c r="B20" s="707"/>
      <c r="C20" s="711">
        <v>303</v>
      </c>
      <c r="D20" s="495">
        <f>B20*C20</f>
        <v>0</v>
      </c>
      <c r="E20" s="509"/>
      <c r="F20" s="510"/>
      <c r="G20" s="511">
        <f t="shared" si="1"/>
        <v>0</v>
      </c>
      <c r="H20" s="712" t="s">
        <v>596</v>
      </c>
      <c r="I20" s="280"/>
    </row>
    <row r="21" spans="1:9" ht="18" customHeight="1" thickTop="1" thickBot="1">
      <c r="A21" s="470" t="s">
        <v>409</v>
      </c>
      <c r="B21" s="708">
        <f>SUM(B8:B20)</f>
        <v>15000</v>
      </c>
      <c r="C21" s="496">
        <f>D21/B21</f>
        <v>299.90666666666669</v>
      </c>
      <c r="D21" s="497">
        <f>SUM(D8:D20)</f>
        <v>4498600</v>
      </c>
      <c r="E21" s="498">
        <f>SUM(E8:E20)</f>
        <v>0</v>
      </c>
      <c r="F21" s="499">
        <f>SUM(F8:F20)</f>
        <v>0</v>
      </c>
      <c r="G21" s="498">
        <f>SUM(G8:G20)</f>
        <v>4498600</v>
      </c>
      <c r="H21" s="614"/>
      <c r="I21" s="280"/>
    </row>
    <row r="22" spans="1:9" ht="18" customHeight="1"/>
  </sheetData>
  <sheetProtection selectLockedCells="1" selectUnlockedCells="1"/>
  <mergeCells count="5">
    <mergeCell ref="G6:G7"/>
    <mergeCell ref="B6:D6"/>
    <mergeCell ref="E6:E7"/>
    <mergeCell ref="F6:F7"/>
    <mergeCell ref="H6:H7"/>
  </mergeCells>
  <phoneticPr fontId="14"/>
  <dataValidations count="2">
    <dataValidation type="list" allowBlank="1" showInputMessage="1" showErrorMessage="1" sqref="B3">
      <formula1>植付本数</formula1>
    </dataValidation>
    <dataValidation type="list" allowBlank="1" showInputMessage="1" showErrorMessage="1" sqref="D3">
      <formula1>本</formula1>
    </dataValidation>
  </dataValidations>
  <pageMargins left="0.70866141732283472" right="0.70866141732283472" top="0.94488188976377963" bottom="0.74803149606299213" header="0.31496062992125984" footer="0.31496062992125984"/>
  <pageSetup paperSize="9" orientation="landscape" verticalDpi="0" r:id="rId1"/>
  <headerFooter>
    <oddHeader>&amp;L&amp;D&amp;F&amp;A</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B1:W486"/>
  <sheetViews>
    <sheetView showGridLines="0" zoomScalePageLayoutView="75" workbookViewId="0">
      <pane ySplit="2" topLeftCell="A3" activePane="bottomLeft" state="frozen"/>
      <selection activeCell="I22" sqref="I22"/>
      <selection pane="bottomLeft" activeCell="D6" sqref="D6"/>
    </sheetView>
  </sheetViews>
  <sheetFormatPr defaultRowHeight="12" zeroHeight="1" outlineLevelRow="1"/>
  <cols>
    <col min="1" max="1" width="2.125" style="188" customWidth="1"/>
    <col min="2" max="2" width="5.125" style="188" customWidth="1"/>
    <col min="3" max="3" width="18.875" style="573" bestFit="1" customWidth="1"/>
    <col min="4" max="4" width="9.625" style="188" bestFit="1" customWidth="1"/>
    <col min="5" max="5" width="6.625" style="188" customWidth="1"/>
    <col min="6" max="6" width="10.625" style="423" customWidth="1"/>
    <col min="7" max="7" width="7" style="188" customWidth="1"/>
    <col min="8" max="8" width="7.375" style="188" bestFit="1" customWidth="1"/>
    <col min="9" max="9" width="9.625" style="427" bestFit="1" customWidth="1"/>
    <col min="10" max="10" width="11.25" style="427" customWidth="1"/>
    <col min="11" max="12" width="11.25" style="424" hidden="1" customWidth="1"/>
    <col min="13" max="13" width="6.625" style="425" hidden="1" customWidth="1"/>
    <col min="14" max="16" width="11.25" style="424" hidden="1" customWidth="1"/>
    <col min="17" max="19" width="11.25" style="426" hidden="1" customWidth="1"/>
    <col min="20" max="22" width="11.25" style="188" hidden="1" customWidth="1"/>
    <col min="23" max="23" width="24.25" style="188" customWidth="1"/>
    <col min="24" max="16384" width="9" style="188"/>
  </cols>
  <sheetData>
    <row r="1" spans="2:23" ht="18" customHeight="1" thickBot="1">
      <c r="B1" s="319" t="s">
        <v>281</v>
      </c>
      <c r="C1" s="549"/>
      <c r="D1" s="881" t="s">
        <v>76</v>
      </c>
      <c r="E1" s="881"/>
      <c r="F1" s="381"/>
      <c r="G1" s="320"/>
      <c r="H1" s="321">
        <v>10</v>
      </c>
      <c r="I1" s="474"/>
      <c r="J1" s="475"/>
      <c r="K1" s="322"/>
      <c r="L1" s="322"/>
      <c r="M1" s="323"/>
      <c r="N1" s="322"/>
      <c r="O1" s="322"/>
      <c r="P1" s="322"/>
      <c r="Q1" s="324"/>
      <c r="R1" s="324"/>
      <c r="S1" s="324"/>
      <c r="T1" s="155"/>
      <c r="U1" s="155"/>
      <c r="V1" s="155"/>
      <c r="W1" s="325" t="str">
        <f>①技術体系!A2</f>
        <v>トマト</v>
      </c>
    </row>
    <row r="2" spans="2:23" s="326" customFormat="1" ht="18" customHeight="1" thickBot="1">
      <c r="B2" s="514" t="s">
        <v>77</v>
      </c>
      <c r="C2" s="550" t="s">
        <v>78</v>
      </c>
      <c r="D2" s="515" t="s">
        <v>79</v>
      </c>
      <c r="E2" s="516" t="s">
        <v>80</v>
      </c>
      <c r="F2" s="517" t="s">
        <v>19</v>
      </c>
      <c r="G2" s="518" t="s">
        <v>81</v>
      </c>
      <c r="H2" s="515" t="s">
        <v>24</v>
      </c>
      <c r="I2" s="519" t="s">
        <v>82</v>
      </c>
      <c r="J2" s="519" t="s">
        <v>83</v>
      </c>
      <c r="K2" s="520" t="s">
        <v>84</v>
      </c>
      <c r="L2" s="520" t="s">
        <v>85</v>
      </c>
      <c r="M2" s="521" t="s">
        <v>80</v>
      </c>
      <c r="N2" s="520" t="s">
        <v>86</v>
      </c>
      <c r="O2" s="522" t="s">
        <v>87</v>
      </c>
      <c r="P2" s="523" t="s">
        <v>80</v>
      </c>
      <c r="Q2" s="524" t="s">
        <v>88</v>
      </c>
      <c r="R2" s="525" t="s">
        <v>89</v>
      </c>
      <c r="S2" s="526" t="s">
        <v>90</v>
      </c>
      <c r="T2" s="527" t="s">
        <v>91</v>
      </c>
      <c r="U2" s="528" t="s">
        <v>92</v>
      </c>
      <c r="V2" s="528" t="s">
        <v>93</v>
      </c>
      <c r="W2" s="529" t="s">
        <v>94</v>
      </c>
    </row>
    <row r="3" spans="2:23" s="326" customFormat="1" ht="12.95" customHeight="1">
      <c r="B3" s="882" t="s">
        <v>98</v>
      </c>
      <c r="C3" s="551" t="s">
        <v>483</v>
      </c>
      <c r="D3" s="204">
        <v>10400</v>
      </c>
      <c r="E3" s="238" t="s">
        <v>117</v>
      </c>
      <c r="F3" s="382">
        <v>14</v>
      </c>
      <c r="G3" s="206">
        <v>1</v>
      </c>
      <c r="H3" s="207">
        <v>1</v>
      </c>
      <c r="I3" s="327">
        <f>IF(C3=0,"",D3*1/G3*H3)</f>
        <v>10400</v>
      </c>
      <c r="J3" s="478">
        <f>IF(C3=0,"",ROUND(F3*I3,0))</f>
        <v>145600</v>
      </c>
      <c r="K3" s="208"/>
      <c r="L3" s="208"/>
      <c r="M3" s="209"/>
      <c r="N3" s="208"/>
      <c r="O3" s="210">
        <v>0</v>
      </c>
      <c r="P3" s="211"/>
      <c r="Q3" s="212"/>
      <c r="R3" s="213"/>
      <c r="S3" s="214"/>
      <c r="T3" s="215" t="s">
        <v>314</v>
      </c>
      <c r="U3" s="216" t="s">
        <v>314</v>
      </c>
      <c r="V3" s="217" t="s">
        <v>314</v>
      </c>
      <c r="W3" s="239"/>
    </row>
    <row r="4" spans="2:23" s="326" customFormat="1" ht="12.95" customHeight="1">
      <c r="B4" s="883"/>
      <c r="C4" s="552"/>
      <c r="D4" s="170"/>
      <c r="E4" s="185"/>
      <c r="F4" s="383"/>
      <c r="G4" s="172"/>
      <c r="H4" s="173"/>
      <c r="I4" s="328"/>
      <c r="J4" s="479"/>
      <c r="K4" s="174"/>
      <c r="L4" s="174"/>
      <c r="M4" s="175"/>
      <c r="N4" s="174"/>
      <c r="O4" s="176"/>
      <c r="P4" s="177"/>
      <c r="Q4" s="178"/>
      <c r="R4" s="179"/>
      <c r="S4" s="180"/>
      <c r="T4" s="181"/>
      <c r="U4" s="182"/>
      <c r="V4" s="183"/>
      <c r="W4" s="240"/>
    </row>
    <row r="5" spans="2:23" s="326" customFormat="1" ht="12.95" customHeight="1">
      <c r="B5" s="883"/>
      <c r="C5" s="552"/>
      <c r="D5" s="170"/>
      <c r="E5" s="185"/>
      <c r="F5" s="383"/>
      <c r="G5" s="172"/>
      <c r="H5" s="173"/>
      <c r="I5" s="328" t="str">
        <f t="shared" ref="I5:I7" si="0">IF(C5=0,"",D5*1/G5*H5)</f>
        <v/>
      </c>
      <c r="J5" s="479" t="str">
        <f t="shared" ref="J5:J7" si="1">IF(C5=0,"",ROUND(F5*I5,0))</f>
        <v/>
      </c>
      <c r="K5" s="174"/>
      <c r="L5" s="174"/>
      <c r="M5" s="175"/>
      <c r="N5" s="174"/>
      <c r="O5" s="176"/>
      <c r="P5" s="177"/>
      <c r="Q5" s="178"/>
      <c r="R5" s="179"/>
      <c r="S5" s="180"/>
      <c r="T5" s="181"/>
      <c r="U5" s="182"/>
      <c r="V5" s="183"/>
      <c r="W5" s="240"/>
    </row>
    <row r="6" spans="2:23" s="326" customFormat="1" ht="12.95" customHeight="1">
      <c r="B6" s="883"/>
      <c r="C6" s="552"/>
      <c r="D6" s="170"/>
      <c r="E6" s="185"/>
      <c r="F6" s="383"/>
      <c r="G6" s="172"/>
      <c r="H6" s="173"/>
      <c r="I6" s="328" t="str">
        <f t="shared" si="0"/>
        <v/>
      </c>
      <c r="J6" s="479" t="str">
        <f t="shared" si="1"/>
        <v/>
      </c>
      <c r="K6" s="174"/>
      <c r="L6" s="174"/>
      <c r="M6" s="175"/>
      <c r="N6" s="174"/>
      <c r="O6" s="176"/>
      <c r="P6" s="177"/>
      <c r="Q6" s="178"/>
      <c r="R6" s="179"/>
      <c r="S6" s="180"/>
      <c r="T6" s="181"/>
      <c r="U6" s="182"/>
      <c r="V6" s="183"/>
      <c r="W6" s="240"/>
    </row>
    <row r="7" spans="2:23" s="326" customFormat="1" ht="12.95" customHeight="1" thickBot="1">
      <c r="B7" s="883"/>
      <c r="C7" s="553"/>
      <c r="D7" s="221"/>
      <c r="E7" s="236"/>
      <c r="F7" s="384"/>
      <c r="G7" s="223"/>
      <c r="H7" s="224"/>
      <c r="I7" s="329" t="str">
        <f t="shared" si="0"/>
        <v/>
      </c>
      <c r="J7" s="480" t="str">
        <f t="shared" si="1"/>
        <v/>
      </c>
      <c r="K7" s="225"/>
      <c r="L7" s="225"/>
      <c r="M7" s="226"/>
      <c r="N7" s="225"/>
      <c r="O7" s="227"/>
      <c r="P7" s="228"/>
      <c r="Q7" s="229"/>
      <c r="R7" s="230"/>
      <c r="S7" s="231"/>
      <c r="T7" s="232"/>
      <c r="U7" s="233"/>
      <c r="V7" s="234"/>
      <c r="W7" s="241"/>
    </row>
    <row r="8" spans="2:23" s="326" customFormat="1" ht="12.95" customHeight="1" thickTop="1" thickBot="1">
      <c r="B8" s="884"/>
      <c r="C8" s="554" t="s">
        <v>316</v>
      </c>
      <c r="D8" s="220"/>
      <c r="E8" s="305"/>
      <c r="F8" s="385"/>
      <c r="G8" s="306"/>
      <c r="H8" s="307"/>
      <c r="I8" s="316"/>
      <c r="J8" s="477">
        <f>SUM(J3:J7)</f>
        <v>145600</v>
      </c>
      <c r="K8" s="308"/>
      <c r="L8" s="308"/>
      <c r="M8" s="309"/>
      <c r="N8" s="308"/>
      <c r="O8" s="310"/>
      <c r="P8" s="311"/>
      <c r="Q8" s="312"/>
      <c r="R8" s="313"/>
      <c r="S8" s="314"/>
      <c r="T8" s="473"/>
      <c r="U8" s="316"/>
      <c r="V8" s="317"/>
      <c r="W8" s="318"/>
    </row>
    <row r="9" spans="2:23" ht="12.95" customHeight="1">
      <c r="B9" s="888" t="s">
        <v>95</v>
      </c>
      <c r="C9" s="636" t="s">
        <v>555</v>
      </c>
      <c r="D9" s="637">
        <v>31.2</v>
      </c>
      <c r="E9" s="639" t="s">
        <v>114</v>
      </c>
      <c r="F9" s="641">
        <v>165.2</v>
      </c>
      <c r="G9" s="642">
        <v>1</v>
      </c>
      <c r="H9" s="643">
        <v>1</v>
      </c>
      <c r="I9" s="644">
        <f t="shared" ref="I9:I20" si="2">IF(C9=0,"",D9*1/G9*H9)</f>
        <v>31.2</v>
      </c>
      <c r="J9" s="645">
        <f t="shared" ref="J9:J20" si="3">IF(C9=0,"",ROUND(F9*I9,0))</f>
        <v>5154</v>
      </c>
      <c r="K9" s="208"/>
      <c r="L9" s="208"/>
      <c r="M9" s="209"/>
      <c r="N9" s="208"/>
      <c r="O9" s="210">
        <v>0</v>
      </c>
      <c r="P9" s="211"/>
      <c r="Q9" s="212"/>
      <c r="R9" s="213"/>
      <c r="S9" s="214"/>
      <c r="T9" s="215" t="s">
        <v>314</v>
      </c>
      <c r="U9" s="216" t="s">
        <v>314</v>
      </c>
      <c r="V9" s="217" t="s">
        <v>314</v>
      </c>
      <c r="W9" s="218"/>
    </row>
    <row r="10" spans="2:23" ht="12.95" customHeight="1">
      <c r="B10" s="891"/>
      <c r="C10" s="557" t="s">
        <v>484</v>
      </c>
      <c r="D10" s="638">
        <v>25</v>
      </c>
      <c r="E10" s="640" t="s">
        <v>114</v>
      </c>
      <c r="F10" s="386">
        <v>89.25</v>
      </c>
      <c r="G10" s="158">
        <v>1</v>
      </c>
      <c r="H10" s="159">
        <v>1</v>
      </c>
      <c r="I10" s="481">
        <f t="shared" ref="I10" si="4">IF(C10=0,"",D10*1/G10*H10)</f>
        <v>25</v>
      </c>
      <c r="J10" s="482">
        <f t="shared" ref="J10" si="5">IF(C10=0,"",ROUND(F10*I10,0))</f>
        <v>2231</v>
      </c>
      <c r="K10" s="160"/>
      <c r="L10" s="160"/>
      <c r="M10" s="161"/>
      <c r="N10" s="160"/>
      <c r="O10" s="162"/>
      <c r="P10" s="163"/>
      <c r="Q10" s="164"/>
      <c r="R10" s="165"/>
      <c r="S10" s="166"/>
      <c r="T10" s="167"/>
      <c r="U10" s="168"/>
      <c r="V10" s="169"/>
      <c r="W10" s="219"/>
    </row>
    <row r="11" spans="2:23" ht="12.95" customHeight="1">
      <c r="B11" s="892"/>
      <c r="C11" s="635" t="s">
        <v>553</v>
      </c>
      <c r="D11" s="156">
        <v>50</v>
      </c>
      <c r="E11" s="157" t="s">
        <v>114</v>
      </c>
      <c r="F11" s="386">
        <v>36.700000000000003</v>
      </c>
      <c r="G11" s="158">
        <v>1</v>
      </c>
      <c r="H11" s="159">
        <v>1</v>
      </c>
      <c r="I11" s="481">
        <f t="shared" ref="I11" si="6">IF(C11=0,"",D11*1/G11*H11)</f>
        <v>50</v>
      </c>
      <c r="J11" s="482">
        <f t="shared" ref="J11" si="7">IF(C11=0,"",ROUND(F11*I11,0))</f>
        <v>1835</v>
      </c>
      <c r="K11" s="160"/>
      <c r="L11" s="160"/>
      <c r="M11" s="161"/>
      <c r="N11" s="160"/>
      <c r="O11" s="162"/>
      <c r="P11" s="163"/>
      <c r="Q11" s="164"/>
      <c r="R11" s="165"/>
      <c r="S11" s="166"/>
      <c r="T11" s="167"/>
      <c r="U11" s="168"/>
      <c r="V11" s="169"/>
      <c r="W11" s="219"/>
    </row>
    <row r="12" spans="2:23" ht="12.95" customHeight="1">
      <c r="B12" s="892"/>
      <c r="C12" s="555" t="s">
        <v>556</v>
      </c>
      <c r="D12" s="156">
        <v>150</v>
      </c>
      <c r="E12" s="157" t="s">
        <v>114</v>
      </c>
      <c r="F12" s="386">
        <v>300.2</v>
      </c>
      <c r="G12" s="158">
        <v>1</v>
      </c>
      <c r="H12" s="159">
        <v>1</v>
      </c>
      <c r="I12" s="481">
        <f t="shared" si="2"/>
        <v>150</v>
      </c>
      <c r="J12" s="482">
        <f t="shared" si="3"/>
        <v>45030</v>
      </c>
      <c r="K12" s="160"/>
      <c r="L12" s="160"/>
      <c r="M12" s="161"/>
      <c r="N12" s="160"/>
      <c r="O12" s="162">
        <v>0</v>
      </c>
      <c r="P12" s="163"/>
      <c r="Q12" s="164"/>
      <c r="R12" s="165"/>
      <c r="S12" s="166"/>
      <c r="T12" s="167" t="s">
        <v>314</v>
      </c>
      <c r="U12" s="168" t="s">
        <v>314</v>
      </c>
      <c r="V12" s="169" t="s">
        <v>314</v>
      </c>
      <c r="W12" s="219"/>
    </row>
    <row r="13" spans="2:23" ht="12.95" customHeight="1">
      <c r="B13" s="893"/>
      <c r="C13" s="556" t="s">
        <v>554</v>
      </c>
      <c r="D13" s="156">
        <v>200</v>
      </c>
      <c r="E13" s="157" t="s">
        <v>114</v>
      </c>
      <c r="F13" s="386">
        <v>310</v>
      </c>
      <c r="G13" s="158">
        <v>1</v>
      </c>
      <c r="H13" s="159">
        <v>1</v>
      </c>
      <c r="I13" s="481">
        <f t="shared" si="2"/>
        <v>200</v>
      </c>
      <c r="J13" s="482">
        <f t="shared" ref="J13" si="8">IF(C13=0,"",ROUND(F13*I13,0))</f>
        <v>62000</v>
      </c>
      <c r="K13" s="160"/>
      <c r="L13" s="160"/>
      <c r="M13" s="161"/>
      <c r="N13" s="160"/>
      <c r="O13" s="162">
        <v>26</v>
      </c>
      <c r="P13" s="163"/>
      <c r="Q13" s="164"/>
      <c r="R13" s="165"/>
      <c r="S13" s="166"/>
      <c r="T13" s="167" t="s">
        <v>314</v>
      </c>
      <c r="U13" s="168" t="s">
        <v>314</v>
      </c>
      <c r="V13" s="169" t="s">
        <v>314</v>
      </c>
      <c r="W13" s="219"/>
    </row>
    <row r="14" spans="2:23" ht="12.95" customHeight="1">
      <c r="B14" s="892"/>
      <c r="C14" s="556" t="s">
        <v>315</v>
      </c>
      <c r="D14" s="156">
        <v>3.5</v>
      </c>
      <c r="E14" s="157" t="s">
        <v>208</v>
      </c>
      <c r="F14" s="386">
        <v>2398</v>
      </c>
      <c r="G14" s="158">
        <v>1</v>
      </c>
      <c r="H14" s="159">
        <v>1</v>
      </c>
      <c r="I14" s="481">
        <f t="shared" ref="I14:I15" si="9">IF(C14=0,"",D14*1/G14*H14)</f>
        <v>3.5</v>
      </c>
      <c r="J14" s="482">
        <f t="shared" si="3"/>
        <v>8393</v>
      </c>
      <c r="K14" s="160"/>
      <c r="L14" s="160"/>
      <c r="M14" s="161"/>
      <c r="N14" s="160"/>
      <c r="O14" s="162">
        <v>9</v>
      </c>
      <c r="P14" s="163"/>
      <c r="Q14" s="164"/>
      <c r="R14" s="165"/>
      <c r="S14" s="166"/>
      <c r="T14" s="167" t="s">
        <v>314</v>
      </c>
      <c r="U14" s="168" t="s">
        <v>314</v>
      </c>
      <c r="V14" s="169" t="s">
        <v>314</v>
      </c>
      <c r="W14" s="219"/>
    </row>
    <row r="15" spans="2:23" ht="12.95" customHeight="1">
      <c r="B15" s="891"/>
      <c r="C15" s="675" t="s">
        <v>571</v>
      </c>
      <c r="D15" s="676">
        <v>26.3</v>
      </c>
      <c r="E15" s="677" t="s">
        <v>219</v>
      </c>
      <c r="F15" s="678">
        <v>193</v>
      </c>
      <c r="G15" s="679">
        <v>1</v>
      </c>
      <c r="H15" s="680">
        <v>1</v>
      </c>
      <c r="I15" s="681">
        <f t="shared" si="9"/>
        <v>26.3</v>
      </c>
      <c r="J15" s="682">
        <f t="shared" si="3"/>
        <v>5076</v>
      </c>
      <c r="K15" s="683"/>
      <c r="L15" s="683"/>
      <c r="M15" s="684"/>
      <c r="N15" s="683"/>
      <c r="O15" s="685"/>
      <c r="P15" s="686"/>
      <c r="Q15" s="687"/>
      <c r="R15" s="688"/>
      <c r="S15" s="689"/>
      <c r="T15" s="690"/>
      <c r="U15" s="691"/>
      <c r="V15" s="692"/>
      <c r="W15" s="693"/>
    </row>
    <row r="16" spans="2:23" ht="12.95" customHeight="1">
      <c r="B16" s="891"/>
      <c r="C16" s="635"/>
      <c r="D16" s="657"/>
      <c r="E16" s="658"/>
      <c r="F16" s="659"/>
      <c r="G16" s="660"/>
      <c r="H16" s="661"/>
      <c r="I16" s="662"/>
      <c r="J16" s="663"/>
      <c r="K16" s="664"/>
      <c r="L16" s="664"/>
      <c r="M16" s="665"/>
      <c r="N16" s="664"/>
      <c r="O16" s="666"/>
      <c r="P16" s="667"/>
      <c r="Q16" s="668"/>
      <c r="R16" s="669"/>
      <c r="S16" s="670"/>
      <c r="T16" s="671"/>
      <c r="U16" s="672"/>
      <c r="V16" s="673"/>
      <c r="W16" s="674"/>
    </row>
    <row r="17" spans="2:23" ht="12.95" customHeight="1">
      <c r="B17" s="891"/>
      <c r="C17" s="649"/>
      <c r="D17" s="650"/>
      <c r="E17" s="651"/>
      <c r="F17" s="652"/>
      <c r="G17" s="653"/>
      <c r="H17" s="654"/>
      <c r="I17" s="655"/>
      <c r="J17" s="656"/>
      <c r="K17" s="160"/>
      <c r="L17" s="160"/>
      <c r="M17" s="161"/>
      <c r="N17" s="160"/>
      <c r="O17" s="162">
        <v>0</v>
      </c>
      <c r="P17" s="163"/>
      <c r="Q17" s="164"/>
      <c r="R17" s="165"/>
      <c r="S17" s="166"/>
      <c r="T17" s="167" t="s">
        <v>314</v>
      </c>
      <c r="U17" s="168" t="s">
        <v>314</v>
      </c>
      <c r="V17" s="169" t="s">
        <v>314</v>
      </c>
      <c r="W17" s="219"/>
    </row>
    <row r="18" spans="2:23" ht="12.95" customHeight="1">
      <c r="B18" s="893"/>
      <c r="C18" s="555"/>
      <c r="D18" s="650"/>
      <c r="E18" s="651"/>
      <c r="F18" s="652"/>
      <c r="G18" s="653"/>
      <c r="H18" s="654"/>
      <c r="I18" s="655"/>
      <c r="J18" s="656"/>
      <c r="K18" s="160"/>
      <c r="L18" s="160"/>
      <c r="M18" s="161"/>
      <c r="N18" s="160"/>
      <c r="O18" s="162"/>
      <c r="P18" s="163"/>
      <c r="Q18" s="164"/>
      <c r="R18" s="165"/>
      <c r="S18" s="166"/>
      <c r="T18" s="167"/>
      <c r="U18" s="168"/>
      <c r="V18" s="169"/>
      <c r="W18" s="219"/>
    </row>
    <row r="19" spans="2:23" ht="12.95" customHeight="1">
      <c r="B19" s="892"/>
      <c r="C19" s="556"/>
      <c r="D19" s="650"/>
      <c r="E19" s="651"/>
      <c r="F19" s="652"/>
      <c r="G19" s="653"/>
      <c r="H19" s="654"/>
      <c r="I19" s="655"/>
      <c r="J19" s="656"/>
      <c r="K19" s="160"/>
      <c r="L19" s="160"/>
      <c r="M19" s="161"/>
      <c r="N19" s="160"/>
      <c r="O19" s="162">
        <v>25</v>
      </c>
      <c r="P19" s="163"/>
      <c r="Q19" s="164"/>
      <c r="R19" s="165"/>
      <c r="S19" s="166"/>
      <c r="T19" s="167" t="s">
        <v>314</v>
      </c>
      <c r="U19" s="168" t="s">
        <v>314</v>
      </c>
      <c r="V19" s="169" t="s">
        <v>314</v>
      </c>
      <c r="W19" s="219"/>
    </row>
    <row r="20" spans="2:23" ht="12.95" customHeight="1" thickBot="1">
      <c r="B20" s="892"/>
      <c r="C20" s="558"/>
      <c r="D20" s="221"/>
      <c r="E20" s="222"/>
      <c r="F20" s="384"/>
      <c r="G20" s="223"/>
      <c r="H20" s="224"/>
      <c r="I20" s="329" t="str">
        <f t="shared" si="2"/>
        <v/>
      </c>
      <c r="J20" s="480" t="str">
        <f t="shared" si="3"/>
        <v/>
      </c>
      <c r="K20" s="225"/>
      <c r="L20" s="225"/>
      <c r="M20" s="226"/>
      <c r="N20" s="225"/>
      <c r="O20" s="227"/>
      <c r="P20" s="228"/>
      <c r="Q20" s="229"/>
      <c r="R20" s="230"/>
      <c r="S20" s="231"/>
      <c r="T20" s="232"/>
      <c r="U20" s="233"/>
      <c r="V20" s="234"/>
      <c r="W20" s="235"/>
    </row>
    <row r="21" spans="2:23" ht="12.95" customHeight="1" thickTop="1" thickBot="1">
      <c r="B21" s="894"/>
      <c r="C21" s="554" t="s">
        <v>316</v>
      </c>
      <c r="D21" s="220"/>
      <c r="E21" s="305"/>
      <c r="F21" s="385"/>
      <c r="G21" s="306"/>
      <c r="H21" s="307"/>
      <c r="I21" s="316"/>
      <c r="J21" s="477">
        <f>SUM(J9:J20)</f>
        <v>129719</v>
      </c>
      <c r="K21" s="308"/>
      <c r="L21" s="308"/>
      <c r="M21" s="309"/>
      <c r="N21" s="308"/>
      <c r="O21" s="310"/>
      <c r="P21" s="311"/>
      <c r="Q21" s="312"/>
      <c r="R21" s="313"/>
      <c r="S21" s="314"/>
      <c r="T21" s="473"/>
      <c r="U21" s="316"/>
      <c r="V21" s="317"/>
      <c r="W21" s="318"/>
    </row>
    <row r="22" spans="2:23" ht="12.95" customHeight="1">
      <c r="B22" s="883" t="s">
        <v>570</v>
      </c>
      <c r="C22" s="560" t="s">
        <v>479</v>
      </c>
      <c r="D22" s="156">
        <v>10</v>
      </c>
      <c r="E22" s="157" t="s">
        <v>114</v>
      </c>
      <c r="F22" s="386">
        <v>1187</v>
      </c>
      <c r="G22" s="158">
        <v>1</v>
      </c>
      <c r="H22" s="159">
        <v>1</v>
      </c>
      <c r="I22" s="481">
        <f t="shared" ref="I22:I49" si="10">IF(C22=0,"",D22*1/G22*H22)</f>
        <v>10</v>
      </c>
      <c r="J22" s="482">
        <f t="shared" ref="J22:J74" si="11">IF(C22=0,"",ROUND(F22*I22,0))</f>
        <v>11870</v>
      </c>
      <c r="K22" s="160"/>
      <c r="L22" s="160"/>
      <c r="M22" s="161"/>
      <c r="N22" s="160"/>
      <c r="O22" s="162">
        <v>0</v>
      </c>
      <c r="P22" s="163"/>
      <c r="Q22" s="164"/>
      <c r="R22" s="165"/>
      <c r="S22" s="166"/>
      <c r="T22" s="167" t="s">
        <v>314</v>
      </c>
      <c r="U22" s="168" t="s">
        <v>314</v>
      </c>
      <c r="V22" s="169" t="s">
        <v>314</v>
      </c>
      <c r="W22" s="219"/>
    </row>
    <row r="23" spans="2:23" ht="12.95" customHeight="1">
      <c r="B23" s="883"/>
      <c r="C23" s="560" t="s">
        <v>562</v>
      </c>
      <c r="D23" s="156">
        <v>880</v>
      </c>
      <c r="E23" s="157" t="s">
        <v>105</v>
      </c>
      <c r="F23" s="386">
        <v>15.95</v>
      </c>
      <c r="G23" s="158">
        <v>1</v>
      </c>
      <c r="H23" s="159">
        <v>1</v>
      </c>
      <c r="I23" s="481">
        <f t="shared" ref="I23:I30" si="12">IF(C23=0,"",D23*1/G23*H23)</f>
        <v>880</v>
      </c>
      <c r="J23" s="482">
        <f t="shared" ref="J23:J30" si="13">IF(C23=0,"",ROUND(F23*I23,0))</f>
        <v>14036</v>
      </c>
      <c r="K23" s="160"/>
      <c r="L23" s="160"/>
      <c r="M23" s="161"/>
      <c r="N23" s="160"/>
      <c r="O23" s="162"/>
      <c r="P23" s="163"/>
      <c r="Q23" s="164"/>
      <c r="R23" s="165"/>
      <c r="S23" s="166"/>
      <c r="T23" s="167"/>
      <c r="U23" s="168"/>
      <c r="V23" s="169"/>
      <c r="W23" s="219"/>
    </row>
    <row r="24" spans="2:23" ht="12.95" customHeight="1">
      <c r="B24" s="883"/>
      <c r="C24" s="560" t="s">
        <v>559</v>
      </c>
      <c r="D24" s="156">
        <v>400</v>
      </c>
      <c r="E24" s="157" t="s">
        <v>105</v>
      </c>
      <c r="F24" s="386">
        <v>3.8460000000000001</v>
      </c>
      <c r="G24" s="158">
        <v>1</v>
      </c>
      <c r="H24" s="159">
        <v>1</v>
      </c>
      <c r="I24" s="481">
        <f t="shared" si="12"/>
        <v>400</v>
      </c>
      <c r="J24" s="482">
        <f t="shared" si="13"/>
        <v>1538</v>
      </c>
      <c r="K24" s="160"/>
      <c r="L24" s="160"/>
      <c r="M24" s="161"/>
      <c r="N24" s="160"/>
      <c r="O24" s="162">
        <v>0</v>
      </c>
      <c r="P24" s="163"/>
      <c r="Q24" s="164"/>
      <c r="R24" s="165"/>
      <c r="S24" s="166"/>
      <c r="T24" s="167" t="s">
        <v>314</v>
      </c>
      <c r="U24" s="168" t="s">
        <v>314</v>
      </c>
      <c r="V24" s="169" t="s">
        <v>314</v>
      </c>
      <c r="W24" s="219"/>
    </row>
    <row r="25" spans="2:23" ht="12.95" customHeight="1">
      <c r="B25" s="883"/>
      <c r="C25" s="560" t="s">
        <v>561</v>
      </c>
      <c r="D25" s="156">
        <v>400</v>
      </c>
      <c r="E25" s="157" t="s">
        <v>103</v>
      </c>
      <c r="F25" s="386">
        <v>17.48</v>
      </c>
      <c r="G25" s="158">
        <v>1</v>
      </c>
      <c r="H25" s="159">
        <v>1</v>
      </c>
      <c r="I25" s="481">
        <f t="shared" si="12"/>
        <v>400</v>
      </c>
      <c r="J25" s="482">
        <f t="shared" si="13"/>
        <v>6992</v>
      </c>
      <c r="K25" s="160"/>
      <c r="L25" s="160"/>
      <c r="M25" s="161"/>
      <c r="N25" s="160"/>
      <c r="O25" s="162"/>
      <c r="P25" s="163"/>
      <c r="Q25" s="164"/>
      <c r="R25" s="165"/>
      <c r="S25" s="166"/>
      <c r="T25" s="167"/>
      <c r="U25" s="168"/>
      <c r="V25" s="169"/>
      <c r="W25" s="219"/>
    </row>
    <row r="26" spans="2:23" ht="12.95" customHeight="1">
      <c r="B26" s="883"/>
      <c r="C26" s="560" t="s">
        <v>560</v>
      </c>
      <c r="D26" s="156">
        <v>400</v>
      </c>
      <c r="E26" s="157" t="s">
        <v>103</v>
      </c>
      <c r="F26" s="386">
        <v>15.718</v>
      </c>
      <c r="G26" s="158">
        <v>1</v>
      </c>
      <c r="H26" s="159">
        <v>1</v>
      </c>
      <c r="I26" s="481">
        <f t="shared" si="12"/>
        <v>400</v>
      </c>
      <c r="J26" s="482">
        <f t="shared" si="13"/>
        <v>6287</v>
      </c>
      <c r="K26" s="160"/>
      <c r="L26" s="160"/>
      <c r="M26" s="161"/>
      <c r="N26" s="160"/>
      <c r="O26" s="162">
        <v>0</v>
      </c>
      <c r="P26" s="163"/>
      <c r="Q26" s="164"/>
      <c r="R26" s="165"/>
      <c r="S26" s="166"/>
      <c r="T26" s="167" t="s">
        <v>314</v>
      </c>
      <c r="U26" s="168" t="s">
        <v>314</v>
      </c>
      <c r="V26" s="169" t="s">
        <v>314</v>
      </c>
      <c r="W26" s="237"/>
    </row>
    <row r="27" spans="2:23" ht="12.95" customHeight="1">
      <c r="B27" s="883"/>
      <c r="C27" s="560" t="s">
        <v>563</v>
      </c>
      <c r="D27" s="156">
        <v>266</v>
      </c>
      <c r="E27" s="157" t="s">
        <v>103</v>
      </c>
      <c r="F27" s="386">
        <v>9.1</v>
      </c>
      <c r="G27" s="158">
        <v>1</v>
      </c>
      <c r="H27" s="159">
        <v>1</v>
      </c>
      <c r="I27" s="481">
        <f t="shared" si="12"/>
        <v>266</v>
      </c>
      <c r="J27" s="482">
        <f t="shared" si="13"/>
        <v>2421</v>
      </c>
      <c r="K27" s="160"/>
      <c r="L27" s="160"/>
      <c r="M27" s="161"/>
      <c r="N27" s="160"/>
      <c r="O27" s="162">
        <v>0</v>
      </c>
      <c r="P27" s="163"/>
      <c r="Q27" s="164"/>
      <c r="R27" s="165"/>
      <c r="S27" s="166"/>
      <c r="T27" s="167" t="s">
        <v>314</v>
      </c>
      <c r="U27" s="168" t="s">
        <v>314</v>
      </c>
      <c r="V27" s="169" t="s">
        <v>314</v>
      </c>
      <c r="W27" s="237"/>
    </row>
    <row r="28" spans="2:23" ht="12.95" customHeight="1">
      <c r="B28" s="883"/>
      <c r="C28" s="560" t="s">
        <v>480</v>
      </c>
      <c r="D28" s="156">
        <v>400</v>
      </c>
      <c r="E28" s="157" t="s">
        <v>103</v>
      </c>
      <c r="F28" s="386">
        <v>11.651999999999999</v>
      </c>
      <c r="G28" s="158">
        <v>1</v>
      </c>
      <c r="H28" s="159">
        <v>1</v>
      </c>
      <c r="I28" s="481">
        <f t="shared" si="12"/>
        <v>400</v>
      </c>
      <c r="J28" s="482">
        <f t="shared" si="13"/>
        <v>4661</v>
      </c>
      <c r="K28" s="160"/>
      <c r="L28" s="160"/>
      <c r="M28" s="161"/>
      <c r="N28" s="160"/>
      <c r="O28" s="162">
        <v>0</v>
      </c>
      <c r="P28" s="163"/>
      <c r="Q28" s="164"/>
      <c r="R28" s="165"/>
      <c r="S28" s="166"/>
      <c r="T28" s="167" t="s">
        <v>314</v>
      </c>
      <c r="U28" s="168" t="s">
        <v>314</v>
      </c>
      <c r="V28" s="169" t="s">
        <v>314</v>
      </c>
      <c r="W28" s="219"/>
    </row>
    <row r="29" spans="2:23" ht="12.95" customHeight="1">
      <c r="B29" s="883"/>
      <c r="C29" s="560" t="s">
        <v>564</v>
      </c>
      <c r="D29" s="156">
        <v>4</v>
      </c>
      <c r="E29" s="157" t="s">
        <v>208</v>
      </c>
      <c r="F29" s="386">
        <v>1510</v>
      </c>
      <c r="G29" s="158">
        <v>1</v>
      </c>
      <c r="H29" s="159">
        <v>1</v>
      </c>
      <c r="I29" s="481">
        <f t="shared" si="12"/>
        <v>4</v>
      </c>
      <c r="J29" s="482">
        <f t="shared" si="13"/>
        <v>6040</v>
      </c>
      <c r="K29" s="160"/>
      <c r="L29" s="160"/>
      <c r="M29" s="161"/>
      <c r="N29" s="160"/>
      <c r="O29" s="162">
        <v>0</v>
      </c>
      <c r="P29" s="163"/>
      <c r="Q29" s="164"/>
      <c r="R29" s="165"/>
      <c r="S29" s="166"/>
      <c r="T29" s="167" t="s">
        <v>314</v>
      </c>
      <c r="U29" s="168" t="s">
        <v>314</v>
      </c>
      <c r="V29" s="169" t="s">
        <v>314</v>
      </c>
      <c r="W29" s="219"/>
    </row>
    <row r="30" spans="2:23" ht="12.95" customHeight="1">
      <c r="B30" s="883"/>
      <c r="C30" s="560" t="s">
        <v>558</v>
      </c>
      <c r="D30" s="156">
        <v>1.4</v>
      </c>
      <c r="E30" s="157" t="s">
        <v>208</v>
      </c>
      <c r="F30" s="386">
        <v>2350</v>
      </c>
      <c r="G30" s="158">
        <v>1</v>
      </c>
      <c r="H30" s="159">
        <v>1</v>
      </c>
      <c r="I30" s="481">
        <f t="shared" si="12"/>
        <v>1.4</v>
      </c>
      <c r="J30" s="482">
        <f t="shared" si="13"/>
        <v>3290</v>
      </c>
      <c r="K30" s="160"/>
      <c r="L30" s="160"/>
      <c r="M30" s="161"/>
      <c r="N30" s="160"/>
      <c r="O30" s="162"/>
      <c r="P30" s="163"/>
      <c r="Q30" s="164"/>
      <c r="R30" s="165"/>
      <c r="S30" s="166"/>
      <c r="T30" s="167"/>
      <c r="U30" s="168"/>
      <c r="V30" s="169"/>
      <c r="W30" s="219"/>
    </row>
    <row r="31" spans="2:23" ht="12.95" customHeight="1">
      <c r="B31" s="883"/>
      <c r="C31" s="560"/>
      <c r="D31" s="156"/>
      <c r="E31" s="157"/>
      <c r="F31" s="386"/>
      <c r="G31" s="158"/>
      <c r="H31" s="159"/>
      <c r="I31" s="481"/>
      <c r="J31" s="482"/>
      <c r="K31" s="160"/>
      <c r="L31" s="160"/>
      <c r="M31" s="161"/>
      <c r="N31" s="160"/>
      <c r="O31" s="162"/>
      <c r="P31" s="163"/>
      <c r="Q31" s="164"/>
      <c r="R31" s="165"/>
      <c r="S31" s="166"/>
      <c r="T31" s="167"/>
      <c r="U31" s="168"/>
      <c r="V31" s="169"/>
      <c r="W31" s="219"/>
    </row>
    <row r="32" spans="2:23" ht="12.95" customHeight="1">
      <c r="B32" s="883"/>
      <c r="C32" s="560"/>
      <c r="D32" s="156"/>
      <c r="E32" s="157"/>
      <c r="F32" s="386"/>
      <c r="G32" s="158"/>
      <c r="H32" s="159"/>
      <c r="I32" s="481"/>
      <c r="J32" s="482"/>
      <c r="K32" s="160"/>
      <c r="L32" s="160"/>
      <c r="M32" s="161"/>
      <c r="N32" s="160"/>
      <c r="O32" s="162"/>
      <c r="P32" s="163"/>
      <c r="Q32" s="164"/>
      <c r="R32" s="165"/>
      <c r="S32" s="166"/>
      <c r="T32" s="167"/>
      <c r="U32" s="168"/>
      <c r="V32" s="169"/>
      <c r="W32" s="219"/>
    </row>
    <row r="33" spans="2:23" ht="12.95" customHeight="1">
      <c r="B33" s="883"/>
      <c r="C33" s="560" t="s">
        <v>557</v>
      </c>
      <c r="D33" s="156">
        <v>2</v>
      </c>
      <c r="E33" s="171" t="s">
        <v>208</v>
      </c>
      <c r="F33" s="383">
        <v>1870</v>
      </c>
      <c r="G33" s="158">
        <v>1</v>
      </c>
      <c r="H33" s="159">
        <v>1</v>
      </c>
      <c r="I33" s="481">
        <f t="shared" ref="I33" si="14">IF(C33=0,"",D33*1/G33*H33)</f>
        <v>2</v>
      </c>
      <c r="J33" s="482">
        <f t="shared" ref="J33" si="15">IF(C33=0,"",ROUND(F33*I33,0))</f>
        <v>3740</v>
      </c>
      <c r="K33" s="160"/>
      <c r="L33" s="160"/>
      <c r="M33" s="161"/>
      <c r="N33" s="160"/>
      <c r="O33" s="162"/>
      <c r="P33" s="163"/>
      <c r="Q33" s="164"/>
      <c r="R33" s="165"/>
      <c r="S33" s="166"/>
      <c r="T33" s="167"/>
      <c r="U33" s="168"/>
      <c r="V33" s="169"/>
      <c r="W33" s="219"/>
    </row>
    <row r="34" spans="2:23" ht="12.95" customHeight="1">
      <c r="B34" s="883"/>
      <c r="C34" s="560"/>
      <c r="D34" s="156"/>
      <c r="E34" s="157"/>
      <c r="F34" s="386"/>
      <c r="G34" s="158"/>
      <c r="H34" s="159"/>
      <c r="I34" s="481" t="str">
        <f t="shared" si="10"/>
        <v/>
      </c>
      <c r="J34" s="482" t="str">
        <f t="shared" si="11"/>
        <v/>
      </c>
      <c r="K34" s="160"/>
      <c r="L34" s="160"/>
      <c r="M34" s="161"/>
      <c r="N34" s="160"/>
      <c r="O34" s="162"/>
      <c r="P34" s="163"/>
      <c r="Q34" s="164"/>
      <c r="R34" s="165"/>
      <c r="S34" s="166"/>
      <c r="T34" s="167"/>
      <c r="U34" s="168"/>
      <c r="V34" s="169"/>
      <c r="W34" s="219"/>
    </row>
    <row r="35" spans="2:23" ht="12.95" customHeight="1">
      <c r="B35" s="883"/>
      <c r="C35" s="562"/>
      <c r="D35" s="170"/>
      <c r="E35" s="184"/>
      <c r="F35" s="383"/>
      <c r="G35" s="172"/>
      <c r="H35" s="173"/>
      <c r="I35" s="328" t="str">
        <f t="shared" si="10"/>
        <v/>
      </c>
      <c r="J35" s="479" t="str">
        <f t="shared" si="11"/>
        <v/>
      </c>
      <c r="K35" s="174"/>
      <c r="L35" s="174"/>
      <c r="M35" s="175"/>
      <c r="N35" s="174"/>
      <c r="O35" s="176"/>
      <c r="P35" s="177"/>
      <c r="Q35" s="178"/>
      <c r="R35" s="179"/>
      <c r="S35" s="180"/>
      <c r="T35" s="181"/>
      <c r="U35" s="182"/>
      <c r="V35" s="183"/>
      <c r="W35" s="219"/>
    </row>
    <row r="36" spans="2:23" ht="12.95" hidden="1" customHeight="1" outlineLevel="1">
      <c r="B36" s="883"/>
      <c r="C36" s="562"/>
      <c r="D36" s="170"/>
      <c r="E36" s="184"/>
      <c r="F36" s="383"/>
      <c r="G36" s="172"/>
      <c r="H36" s="173"/>
      <c r="I36" s="328" t="str">
        <f t="shared" si="10"/>
        <v/>
      </c>
      <c r="J36" s="479" t="str">
        <f t="shared" si="11"/>
        <v/>
      </c>
      <c r="K36" s="174"/>
      <c r="L36" s="174"/>
      <c r="M36" s="175"/>
      <c r="N36" s="174"/>
      <c r="O36" s="176"/>
      <c r="P36" s="177"/>
      <c r="Q36" s="178"/>
      <c r="R36" s="179"/>
      <c r="S36" s="180"/>
      <c r="T36" s="181"/>
      <c r="U36" s="182"/>
      <c r="V36" s="183"/>
      <c r="W36" s="219"/>
    </row>
    <row r="37" spans="2:23" ht="12.95" hidden="1" customHeight="1" outlineLevel="1">
      <c r="B37" s="883"/>
      <c r="C37" s="562"/>
      <c r="D37" s="170"/>
      <c r="E37" s="184"/>
      <c r="F37" s="383"/>
      <c r="G37" s="172"/>
      <c r="H37" s="173"/>
      <c r="I37" s="328" t="str">
        <f t="shared" si="10"/>
        <v/>
      </c>
      <c r="J37" s="479" t="str">
        <f t="shared" si="11"/>
        <v/>
      </c>
      <c r="K37" s="174"/>
      <c r="L37" s="174"/>
      <c r="M37" s="175"/>
      <c r="N37" s="174"/>
      <c r="O37" s="176"/>
      <c r="P37" s="177"/>
      <c r="Q37" s="178"/>
      <c r="R37" s="179"/>
      <c r="S37" s="180"/>
      <c r="T37" s="181"/>
      <c r="U37" s="182"/>
      <c r="V37" s="183"/>
      <c r="W37" s="219"/>
    </row>
    <row r="38" spans="2:23" ht="12.95" hidden="1" customHeight="1" outlineLevel="1">
      <c r="B38" s="883"/>
      <c r="C38" s="562"/>
      <c r="D38" s="170"/>
      <c r="E38" s="171"/>
      <c r="F38" s="383"/>
      <c r="G38" s="172"/>
      <c r="H38" s="173"/>
      <c r="I38" s="328" t="str">
        <f t="shared" si="10"/>
        <v/>
      </c>
      <c r="J38" s="479" t="str">
        <f t="shared" si="11"/>
        <v/>
      </c>
      <c r="K38" s="174"/>
      <c r="L38" s="174"/>
      <c r="M38" s="175"/>
      <c r="N38" s="174"/>
      <c r="O38" s="176"/>
      <c r="P38" s="177"/>
      <c r="Q38" s="178"/>
      <c r="R38" s="179"/>
      <c r="S38" s="180"/>
      <c r="T38" s="181"/>
      <c r="U38" s="182"/>
      <c r="V38" s="183"/>
      <c r="W38" s="237"/>
    </row>
    <row r="39" spans="2:23" ht="12.95" hidden="1" customHeight="1" outlineLevel="1">
      <c r="B39" s="883"/>
      <c r="C39" s="562"/>
      <c r="D39" s="170"/>
      <c r="E39" s="184"/>
      <c r="F39" s="383"/>
      <c r="G39" s="172"/>
      <c r="H39" s="173"/>
      <c r="I39" s="328" t="str">
        <f t="shared" si="10"/>
        <v/>
      </c>
      <c r="J39" s="479" t="str">
        <f t="shared" si="11"/>
        <v/>
      </c>
      <c r="K39" s="174"/>
      <c r="L39" s="174"/>
      <c r="M39" s="175"/>
      <c r="N39" s="174"/>
      <c r="O39" s="176"/>
      <c r="P39" s="177"/>
      <c r="Q39" s="178"/>
      <c r="R39" s="179"/>
      <c r="S39" s="180"/>
      <c r="T39" s="181"/>
      <c r="U39" s="182"/>
      <c r="V39" s="183"/>
      <c r="W39" s="237"/>
    </row>
    <row r="40" spans="2:23" ht="12.95" hidden="1" customHeight="1" outlineLevel="1">
      <c r="B40" s="883"/>
      <c r="C40" s="562"/>
      <c r="D40" s="170"/>
      <c r="E40" s="184"/>
      <c r="F40" s="383"/>
      <c r="G40" s="172"/>
      <c r="H40" s="173"/>
      <c r="I40" s="328" t="str">
        <f t="shared" si="10"/>
        <v/>
      </c>
      <c r="J40" s="479" t="str">
        <f t="shared" si="11"/>
        <v/>
      </c>
      <c r="K40" s="174"/>
      <c r="L40" s="174"/>
      <c r="M40" s="175"/>
      <c r="N40" s="174"/>
      <c r="O40" s="176"/>
      <c r="P40" s="177"/>
      <c r="Q40" s="178"/>
      <c r="R40" s="179"/>
      <c r="S40" s="180"/>
      <c r="T40" s="181"/>
      <c r="U40" s="182"/>
      <c r="V40" s="183"/>
      <c r="W40" s="237"/>
    </row>
    <row r="41" spans="2:23" ht="12.95" hidden="1" customHeight="1" outlineLevel="1">
      <c r="B41" s="883"/>
      <c r="C41" s="562"/>
      <c r="D41" s="170"/>
      <c r="E41" s="194"/>
      <c r="F41" s="387"/>
      <c r="G41" s="172"/>
      <c r="H41" s="173"/>
      <c r="I41" s="328" t="str">
        <f t="shared" si="10"/>
        <v/>
      </c>
      <c r="J41" s="479" t="str">
        <f t="shared" si="11"/>
        <v/>
      </c>
      <c r="K41" s="174"/>
      <c r="L41" s="174"/>
      <c r="M41" s="175"/>
      <c r="N41" s="174"/>
      <c r="O41" s="176"/>
      <c r="P41" s="177"/>
      <c r="Q41" s="178"/>
      <c r="R41" s="179"/>
      <c r="S41" s="180"/>
      <c r="T41" s="181"/>
      <c r="U41" s="182"/>
      <c r="V41" s="183"/>
      <c r="W41" s="237"/>
    </row>
    <row r="42" spans="2:23" ht="12.95" hidden="1" customHeight="1" outlineLevel="1">
      <c r="B42" s="883"/>
      <c r="C42" s="561"/>
      <c r="D42" s="170"/>
      <c r="E42" s="194"/>
      <c r="F42" s="383"/>
      <c r="G42" s="172"/>
      <c r="H42" s="173"/>
      <c r="I42" s="328" t="str">
        <f t="shared" si="10"/>
        <v/>
      </c>
      <c r="J42" s="479" t="str">
        <f t="shared" si="11"/>
        <v/>
      </c>
      <c r="K42" s="174"/>
      <c r="L42" s="174"/>
      <c r="M42" s="175"/>
      <c r="N42" s="174"/>
      <c r="O42" s="176"/>
      <c r="P42" s="177"/>
      <c r="Q42" s="178"/>
      <c r="R42" s="179"/>
      <c r="S42" s="180"/>
      <c r="T42" s="181"/>
      <c r="U42" s="182"/>
      <c r="V42" s="183"/>
      <c r="W42" s="237"/>
    </row>
    <row r="43" spans="2:23" ht="12.95" hidden="1" customHeight="1" outlineLevel="1">
      <c r="B43" s="883"/>
      <c r="C43" s="561"/>
      <c r="D43" s="170"/>
      <c r="E43" s="194"/>
      <c r="F43" s="383"/>
      <c r="G43" s="172"/>
      <c r="H43" s="173"/>
      <c r="I43" s="328" t="str">
        <f t="shared" si="10"/>
        <v/>
      </c>
      <c r="J43" s="479" t="str">
        <f t="shared" si="11"/>
        <v/>
      </c>
      <c r="K43" s="174"/>
      <c r="L43" s="174"/>
      <c r="M43" s="175"/>
      <c r="N43" s="174"/>
      <c r="O43" s="176"/>
      <c r="P43" s="177"/>
      <c r="Q43" s="178"/>
      <c r="R43" s="179"/>
      <c r="S43" s="180"/>
      <c r="T43" s="181"/>
      <c r="U43" s="182"/>
      <c r="V43" s="183"/>
      <c r="W43" s="237"/>
    </row>
    <row r="44" spans="2:23" ht="12.95" hidden="1" customHeight="1" outlineLevel="1">
      <c r="B44" s="883"/>
      <c r="C44" s="561"/>
      <c r="D44" s="170"/>
      <c r="E44" s="184"/>
      <c r="F44" s="383"/>
      <c r="G44" s="172"/>
      <c r="H44" s="173"/>
      <c r="I44" s="328" t="str">
        <f t="shared" si="10"/>
        <v/>
      </c>
      <c r="J44" s="479" t="str">
        <f t="shared" si="11"/>
        <v/>
      </c>
      <c r="K44" s="174"/>
      <c r="L44" s="174"/>
      <c r="M44" s="175"/>
      <c r="N44" s="174"/>
      <c r="O44" s="176"/>
      <c r="P44" s="177"/>
      <c r="Q44" s="178"/>
      <c r="R44" s="179"/>
      <c r="S44" s="180"/>
      <c r="T44" s="181"/>
      <c r="U44" s="182"/>
      <c r="V44" s="183"/>
      <c r="W44" s="237"/>
    </row>
    <row r="45" spans="2:23" ht="12.95" hidden="1" customHeight="1" outlineLevel="1">
      <c r="B45" s="883"/>
      <c r="C45" s="561"/>
      <c r="D45" s="170"/>
      <c r="E45" s="194"/>
      <c r="F45" s="383"/>
      <c r="G45" s="172"/>
      <c r="H45" s="173"/>
      <c r="I45" s="328" t="str">
        <f t="shared" si="10"/>
        <v/>
      </c>
      <c r="J45" s="479" t="str">
        <f t="shared" si="11"/>
        <v/>
      </c>
      <c r="K45" s="174"/>
      <c r="L45" s="174"/>
      <c r="M45" s="175"/>
      <c r="N45" s="174"/>
      <c r="O45" s="176"/>
      <c r="P45" s="177"/>
      <c r="Q45" s="178"/>
      <c r="R45" s="179"/>
      <c r="S45" s="180"/>
      <c r="T45" s="181"/>
      <c r="U45" s="182"/>
      <c r="V45" s="183"/>
      <c r="W45" s="237"/>
    </row>
    <row r="46" spans="2:23" ht="12.95" hidden="1" customHeight="1" outlineLevel="1">
      <c r="B46" s="883"/>
      <c r="C46" s="563"/>
      <c r="D46" s="170"/>
      <c r="E46" s="185"/>
      <c r="F46" s="383"/>
      <c r="G46" s="172"/>
      <c r="H46" s="173"/>
      <c r="I46" s="328" t="str">
        <f t="shared" si="10"/>
        <v/>
      </c>
      <c r="J46" s="479" t="str">
        <f t="shared" si="11"/>
        <v/>
      </c>
      <c r="K46" s="174"/>
      <c r="L46" s="174"/>
      <c r="M46" s="175"/>
      <c r="N46" s="174"/>
      <c r="O46" s="176"/>
      <c r="P46" s="177"/>
      <c r="Q46" s="178"/>
      <c r="R46" s="179"/>
      <c r="S46" s="180"/>
      <c r="T46" s="181"/>
      <c r="U46" s="182"/>
      <c r="V46" s="183"/>
      <c r="W46" s="237"/>
    </row>
    <row r="47" spans="2:23" ht="12.95" hidden="1" customHeight="1" outlineLevel="1">
      <c r="B47" s="883"/>
      <c r="C47" s="563"/>
      <c r="D47" s="170"/>
      <c r="E47" s="185"/>
      <c r="F47" s="387"/>
      <c r="G47" s="172"/>
      <c r="H47" s="173"/>
      <c r="I47" s="328" t="str">
        <f t="shared" si="10"/>
        <v/>
      </c>
      <c r="J47" s="479" t="str">
        <f t="shared" si="11"/>
        <v/>
      </c>
      <c r="K47" s="174"/>
      <c r="L47" s="174"/>
      <c r="M47" s="175"/>
      <c r="N47" s="174"/>
      <c r="O47" s="176"/>
      <c r="P47" s="177"/>
      <c r="Q47" s="178"/>
      <c r="R47" s="179"/>
      <c r="S47" s="180"/>
      <c r="T47" s="181"/>
      <c r="U47" s="182"/>
      <c r="V47" s="183"/>
      <c r="W47" s="237"/>
    </row>
    <row r="48" spans="2:23" ht="12.95" hidden="1" customHeight="1" outlineLevel="1">
      <c r="B48" s="883"/>
      <c r="C48" s="563"/>
      <c r="D48" s="170"/>
      <c r="E48" s="185"/>
      <c r="F48" s="383"/>
      <c r="G48" s="172"/>
      <c r="H48" s="173"/>
      <c r="I48" s="328" t="str">
        <f t="shared" si="10"/>
        <v/>
      </c>
      <c r="J48" s="479" t="str">
        <f t="shared" si="11"/>
        <v/>
      </c>
      <c r="K48" s="174"/>
      <c r="L48" s="174"/>
      <c r="M48" s="175"/>
      <c r="N48" s="174"/>
      <c r="O48" s="176">
        <f t="shared" ref="O48:O82" si="16">IF(K48*L48*N48=0,0,(L48*N48)/K48)</f>
        <v>0</v>
      </c>
      <c r="P48" s="177"/>
      <c r="Q48" s="178"/>
      <c r="R48" s="179"/>
      <c r="S48" s="180"/>
      <c r="T48" s="181" t="str">
        <f t="shared" ref="T48:V49" si="17">IF(Q48="","",Q48*$D48)</f>
        <v/>
      </c>
      <c r="U48" s="182" t="str">
        <f t="shared" si="17"/>
        <v/>
      </c>
      <c r="V48" s="183" t="str">
        <f t="shared" si="17"/>
        <v/>
      </c>
      <c r="W48" s="237"/>
    </row>
    <row r="49" spans="2:23" ht="12.95" hidden="1" customHeight="1" outlineLevel="1" thickBot="1">
      <c r="B49" s="883"/>
      <c r="C49" s="564"/>
      <c r="D49" s="221"/>
      <c r="E49" s="236"/>
      <c r="F49" s="384"/>
      <c r="G49" s="223"/>
      <c r="H49" s="224"/>
      <c r="I49" s="329" t="str">
        <f t="shared" si="10"/>
        <v/>
      </c>
      <c r="J49" s="480" t="str">
        <f t="shared" si="11"/>
        <v/>
      </c>
      <c r="K49" s="225"/>
      <c r="L49" s="225"/>
      <c r="M49" s="226"/>
      <c r="N49" s="225"/>
      <c r="O49" s="227">
        <f t="shared" si="16"/>
        <v>0</v>
      </c>
      <c r="P49" s="228"/>
      <c r="Q49" s="229"/>
      <c r="R49" s="230"/>
      <c r="S49" s="231"/>
      <c r="T49" s="232" t="str">
        <f t="shared" si="17"/>
        <v/>
      </c>
      <c r="U49" s="233" t="str">
        <f t="shared" si="17"/>
        <v/>
      </c>
      <c r="V49" s="234" t="str">
        <f t="shared" si="17"/>
        <v/>
      </c>
      <c r="W49" s="235"/>
    </row>
    <row r="50" spans="2:23" ht="12.95" customHeight="1" collapsed="1" thickBot="1">
      <c r="B50" s="884"/>
      <c r="C50" s="565" t="s">
        <v>316</v>
      </c>
      <c r="D50" s="220"/>
      <c r="E50" s="305"/>
      <c r="F50" s="385"/>
      <c r="G50" s="306"/>
      <c r="H50" s="307"/>
      <c r="I50" s="316"/>
      <c r="J50" s="477">
        <f>SUM(J22:J49)</f>
        <v>60875</v>
      </c>
      <c r="K50" s="308"/>
      <c r="L50" s="308"/>
      <c r="M50" s="309"/>
      <c r="N50" s="308"/>
      <c r="O50" s="310"/>
      <c r="P50" s="311"/>
      <c r="Q50" s="312"/>
      <c r="R50" s="313"/>
      <c r="S50" s="314"/>
      <c r="T50" s="315"/>
      <c r="U50" s="316"/>
      <c r="V50" s="317"/>
      <c r="W50" s="318"/>
    </row>
    <row r="51" spans="2:23" ht="12.95" customHeight="1">
      <c r="B51" s="882" t="s">
        <v>152</v>
      </c>
      <c r="C51" s="714" t="str">
        <f>科目設定!G2</f>
        <v>ガソリン</v>
      </c>
      <c r="D51" s="327">
        <v>75</v>
      </c>
      <c r="E51" s="715" t="s">
        <v>208</v>
      </c>
      <c r="F51" s="382">
        <v>137</v>
      </c>
      <c r="G51" s="206">
        <v>1</v>
      </c>
      <c r="H51" s="207">
        <v>1</v>
      </c>
      <c r="I51" s="327">
        <f>IF(D51=0,"",D51*1/G51*H51)</f>
        <v>75</v>
      </c>
      <c r="J51" s="478">
        <f>IF(D51=0,"",ROUND(F51*I51,0))</f>
        <v>10275</v>
      </c>
      <c r="K51" s="208"/>
      <c r="L51" s="208"/>
      <c r="M51" s="209"/>
      <c r="N51" s="208"/>
      <c r="O51" s="210">
        <v>0</v>
      </c>
      <c r="P51" s="211"/>
      <c r="Q51" s="212"/>
      <c r="R51" s="213"/>
      <c r="S51" s="214"/>
      <c r="T51" s="215" t="s">
        <v>314</v>
      </c>
      <c r="U51" s="216" t="s">
        <v>314</v>
      </c>
      <c r="V51" s="217" t="s">
        <v>314</v>
      </c>
      <c r="W51" s="218" t="s">
        <v>528</v>
      </c>
    </row>
    <row r="52" spans="2:23" ht="12.95" customHeight="1">
      <c r="B52" s="883"/>
      <c r="C52" s="566" t="str">
        <f>科目設定!G3</f>
        <v>軽油</v>
      </c>
      <c r="D52" s="328">
        <f>SUMIF(③労働時間!$K$15:$K$195,$C52,③労働時間!$N$15:$N$195)</f>
        <v>0</v>
      </c>
      <c r="E52" s="330" t="s">
        <v>208</v>
      </c>
      <c r="F52" s="383">
        <v>93.8</v>
      </c>
      <c r="G52" s="172">
        <v>1</v>
      </c>
      <c r="H52" s="173">
        <v>1</v>
      </c>
      <c r="I52" s="328" t="str">
        <f t="shared" ref="I52:I56" si="18">IF(D52=0,"",D52*1/G52*H52)</f>
        <v/>
      </c>
      <c r="J52" s="479">
        <f>IF(D52=0,0,ROUND(F52*I52,0))</f>
        <v>0</v>
      </c>
      <c r="K52" s="174"/>
      <c r="L52" s="174"/>
      <c r="M52" s="175"/>
      <c r="N52" s="174"/>
      <c r="O52" s="176">
        <v>0</v>
      </c>
      <c r="P52" s="177"/>
      <c r="Q52" s="178"/>
      <c r="R52" s="179"/>
      <c r="S52" s="180"/>
      <c r="T52" s="181" t="s">
        <v>314</v>
      </c>
      <c r="U52" s="182" t="s">
        <v>314</v>
      </c>
      <c r="V52" s="183" t="s">
        <v>314</v>
      </c>
      <c r="W52" s="237" t="s">
        <v>528</v>
      </c>
    </row>
    <row r="53" spans="2:23" ht="12.95" customHeight="1">
      <c r="B53" s="883"/>
      <c r="C53" s="566" t="str">
        <f>科目設定!G4</f>
        <v>Ａ重油</v>
      </c>
      <c r="D53" s="328">
        <f>SUMIF(③労働時間!$K$15:$K$195,$C53,③労働時間!$N$15:$N$195)</f>
        <v>0</v>
      </c>
      <c r="E53" s="330" t="s">
        <v>208</v>
      </c>
      <c r="F53" s="383">
        <v>75.900000000000006</v>
      </c>
      <c r="G53" s="172">
        <v>1</v>
      </c>
      <c r="H53" s="173">
        <v>1</v>
      </c>
      <c r="I53" s="328" t="str">
        <f t="shared" si="18"/>
        <v/>
      </c>
      <c r="J53" s="479" t="str">
        <f t="shared" ref="J53:J56" si="19">IF(D53=0,"",ROUND(F53*I53,0))</f>
        <v/>
      </c>
      <c r="K53" s="174"/>
      <c r="L53" s="174"/>
      <c r="M53" s="175"/>
      <c r="N53" s="174"/>
      <c r="O53" s="176">
        <v>0</v>
      </c>
      <c r="P53" s="177"/>
      <c r="Q53" s="178"/>
      <c r="R53" s="179"/>
      <c r="S53" s="180"/>
      <c r="T53" s="181" t="s">
        <v>314</v>
      </c>
      <c r="U53" s="182" t="s">
        <v>314</v>
      </c>
      <c r="V53" s="183" t="s">
        <v>314</v>
      </c>
      <c r="W53" s="237" t="s">
        <v>528</v>
      </c>
    </row>
    <row r="54" spans="2:23" ht="12.95" customHeight="1">
      <c r="B54" s="883"/>
      <c r="C54" s="566" t="str">
        <f>科目設定!G5</f>
        <v>電気料</v>
      </c>
      <c r="D54" s="328">
        <f>SUMIF(③労働時間!$K$15:$K$195,$C54,③労働時間!$N$15:$N$195)</f>
        <v>0</v>
      </c>
      <c r="E54" s="330"/>
      <c r="F54" s="383"/>
      <c r="G54" s="172"/>
      <c r="H54" s="173"/>
      <c r="I54" s="328" t="str">
        <f t="shared" si="18"/>
        <v/>
      </c>
      <c r="J54" s="479" t="str">
        <f t="shared" si="19"/>
        <v/>
      </c>
      <c r="K54" s="174"/>
      <c r="L54" s="174"/>
      <c r="M54" s="175"/>
      <c r="N54" s="174"/>
      <c r="O54" s="176"/>
      <c r="P54" s="177"/>
      <c r="Q54" s="178"/>
      <c r="R54" s="179"/>
      <c r="S54" s="180"/>
      <c r="T54" s="181" t="s">
        <v>314</v>
      </c>
      <c r="U54" s="182" t="s">
        <v>314</v>
      </c>
      <c r="V54" s="183" t="s">
        <v>314</v>
      </c>
      <c r="W54" s="237"/>
    </row>
    <row r="55" spans="2:23" ht="12.95" customHeight="1">
      <c r="B55" s="883"/>
      <c r="C55" s="566" t="str">
        <f>科目設定!G6</f>
        <v>水道</v>
      </c>
      <c r="D55" s="328">
        <f>SUMIF(③労働時間!$K$15:$K$195,$C55,③労働時間!$N$15:$N$195)</f>
        <v>0</v>
      </c>
      <c r="E55" s="330"/>
      <c r="F55" s="383"/>
      <c r="G55" s="172"/>
      <c r="H55" s="173"/>
      <c r="I55" s="328" t="str">
        <f t="shared" si="18"/>
        <v/>
      </c>
      <c r="J55" s="479" t="str">
        <f t="shared" si="19"/>
        <v/>
      </c>
      <c r="K55" s="174"/>
      <c r="L55" s="174"/>
      <c r="M55" s="175"/>
      <c r="N55" s="174"/>
      <c r="O55" s="176">
        <f t="shared" si="16"/>
        <v>0</v>
      </c>
      <c r="P55" s="177"/>
      <c r="Q55" s="178"/>
      <c r="R55" s="179"/>
      <c r="S55" s="180"/>
      <c r="T55" s="181" t="str">
        <f t="shared" ref="T55:V57" si="20">IF(Q55="","",Q55*$D55)</f>
        <v/>
      </c>
      <c r="U55" s="182" t="str">
        <f t="shared" si="20"/>
        <v/>
      </c>
      <c r="V55" s="183" t="str">
        <f t="shared" si="20"/>
        <v/>
      </c>
      <c r="W55" s="237"/>
    </row>
    <row r="56" spans="2:23" ht="12.95" customHeight="1">
      <c r="B56" s="883"/>
      <c r="C56" s="566" t="str">
        <f>科目設定!G7</f>
        <v>灯油</v>
      </c>
      <c r="D56" s="328">
        <f>SUMIF(③労働時間!$K$15:$K$195,$C56,③労働時間!$N$15:$N$195)</f>
        <v>0</v>
      </c>
      <c r="E56" s="330" t="s">
        <v>208</v>
      </c>
      <c r="F56" s="383">
        <v>95</v>
      </c>
      <c r="G56" s="172">
        <v>1</v>
      </c>
      <c r="H56" s="173">
        <v>1</v>
      </c>
      <c r="I56" s="328" t="str">
        <f t="shared" si="18"/>
        <v/>
      </c>
      <c r="J56" s="479" t="str">
        <f t="shared" si="19"/>
        <v/>
      </c>
      <c r="K56" s="174"/>
      <c r="L56" s="174"/>
      <c r="M56" s="175"/>
      <c r="N56" s="174"/>
      <c r="O56" s="176">
        <f t="shared" si="16"/>
        <v>0</v>
      </c>
      <c r="P56" s="177"/>
      <c r="Q56" s="178"/>
      <c r="R56" s="179"/>
      <c r="S56" s="180"/>
      <c r="T56" s="181" t="str">
        <f t="shared" si="20"/>
        <v/>
      </c>
      <c r="U56" s="182" t="str">
        <f t="shared" si="20"/>
        <v/>
      </c>
      <c r="V56" s="183" t="str">
        <f t="shared" si="20"/>
        <v/>
      </c>
      <c r="W56" s="237" t="s">
        <v>528</v>
      </c>
    </row>
    <row r="57" spans="2:23" ht="12.95" customHeight="1" thickBot="1">
      <c r="B57" s="883"/>
      <c r="C57" s="566" t="str">
        <f>科目設定!G8</f>
        <v>混合油</v>
      </c>
      <c r="D57" s="328">
        <f>SUMIF(③労働時間!$K$15:$K$195,$C57,③労働時間!$N$15:$N$195)</f>
        <v>0</v>
      </c>
      <c r="E57" s="330" t="s">
        <v>208</v>
      </c>
      <c r="F57" s="383"/>
      <c r="G57" s="172">
        <v>1</v>
      </c>
      <c r="H57" s="173">
        <v>2</v>
      </c>
      <c r="I57" s="328" t="str">
        <f t="shared" ref="I57" si="21">IF(D57=0,"",D57*1/G57*H57)</f>
        <v/>
      </c>
      <c r="J57" s="479" t="str">
        <f t="shared" ref="J57" si="22">IF(D57=0,"",ROUND(F57*I57,0))</f>
        <v/>
      </c>
      <c r="K57" s="225"/>
      <c r="L57" s="225"/>
      <c r="M57" s="226"/>
      <c r="N57" s="225"/>
      <c r="O57" s="227">
        <f t="shared" si="16"/>
        <v>0</v>
      </c>
      <c r="P57" s="228"/>
      <c r="Q57" s="229"/>
      <c r="R57" s="230"/>
      <c r="S57" s="231"/>
      <c r="T57" s="232" t="str">
        <f t="shared" si="20"/>
        <v/>
      </c>
      <c r="U57" s="233" t="str">
        <f t="shared" si="20"/>
        <v/>
      </c>
      <c r="V57" s="234" t="str">
        <f t="shared" si="20"/>
        <v/>
      </c>
      <c r="W57" s="237"/>
    </row>
    <row r="58" spans="2:23" ht="12.95" customHeight="1" thickTop="1">
      <c r="B58" s="883"/>
      <c r="C58" s="566" t="str">
        <f>科目設定!G9</f>
        <v>オイル(自動計算)</v>
      </c>
      <c r="D58" s="720">
        <v>1</v>
      </c>
      <c r="E58" s="721" t="s">
        <v>485</v>
      </c>
      <c r="F58" s="722"/>
      <c r="G58" s="723">
        <v>1</v>
      </c>
      <c r="H58" s="724">
        <v>1</v>
      </c>
      <c r="I58" s="725"/>
      <c r="J58" s="479">
        <f>IF(D58=0,"",ROUND((J51+J52)*0.3,0))</f>
        <v>3083</v>
      </c>
      <c r="K58" s="726"/>
      <c r="L58" s="726"/>
      <c r="M58" s="727"/>
      <c r="N58" s="726"/>
      <c r="O58" s="728"/>
      <c r="P58" s="729"/>
      <c r="Q58" s="730"/>
      <c r="R58" s="731"/>
      <c r="S58" s="732"/>
      <c r="T58" s="733"/>
      <c r="U58" s="734"/>
      <c r="V58" s="735"/>
      <c r="W58" s="237"/>
    </row>
    <row r="59" spans="2:23" ht="12.95" customHeight="1" thickBot="1">
      <c r="B59" s="883"/>
      <c r="C59" s="736" t="str">
        <f>科目設定!G10</f>
        <v>その他燃料</v>
      </c>
      <c r="D59" s="530"/>
      <c r="E59" s="531"/>
      <c r="F59" s="384"/>
      <c r="G59" s="223"/>
      <c r="H59" s="224"/>
      <c r="I59" s="737" t="str">
        <f t="shared" ref="I59" si="23">IF(D59=0,"",D59*1/G59*H59)</f>
        <v/>
      </c>
      <c r="J59" s="480" t="str">
        <f t="shared" ref="J59" si="24">IF(D59=0,"",ROUND(F59*I59,0))</f>
        <v/>
      </c>
      <c r="K59" s="225"/>
      <c r="L59" s="225"/>
      <c r="M59" s="226"/>
      <c r="N59" s="225"/>
      <c r="O59" s="227">
        <f t="shared" ref="O59" si="25">IF(K59*L59*N59=0,0,(L59*N59)/K59)</f>
        <v>0</v>
      </c>
      <c r="P59" s="228"/>
      <c r="Q59" s="229"/>
      <c r="R59" s="230"/>
      <c r="S59" s="231"/>
      <c r="T59" s="232" t="str">
        <f t="shared" ref="T59:V59" si="26">IF(Q59="","",Q59*$D59)</f>
        <v/>
      </c>
      <c r="U59" s="233" t="str">
        <f t="shared" si="26"/>
        <v/>
      </c>
      <c r="V59" s="234" t="str">
        <f t="shared" si="26"/>
        <v/>
      </c>
      <c r="W59" s="235"/>
    </row>
    <row r="60" spans="2:23" ht="12.95" customHeight="1" thickTop="1" thickBot="1">
      <c r="B60" s="884"/>
      <c r="C60" s="565" t="s">
        <v>316</v>
      </c>
      <c r="D60" s="220"/>
      <c r="E60" s="305"/>
      <c r="F60" s="385"/>
      <c r="G60" s="306"/>
      <c r="H60" s="307"/>
      <c r="I60" s="316"/>
      <c r="J60" s="477">
        <f>SUM(J51:J59)</f>
        <v>13358</v>
      </c>
      <c r="K60" s="308"/>
      <c r="L60" s="308"/>
      <c r="M60" s="309"/>
      <c r="N60" s="308"/>
      <c r="O60" s="310"/>
      <c r="P60" s="311"/>
      <c r="Q60" s="312"/>
      <c r="R60" s="313"/>
      <c r="S60" s="314"/>
      <c r="T60" s="315"/>
      <c r="U60" s="316"/>
      <c r="V60" s="317"/>
      <c r="W60" s="318"/>
    </row>
    <row r="61" spans="2:23" ht="12.95" customHeight="1">
      <c r="B61" s="882" t="s">
        <v>115</v>
      </c>
      <c r="C61" s="551" t="s">
        <v>300</v>
      </c>
      <c r="D61" s="204">
        <v>304</v>
      </c>
      <c r="E61" s="238" t="s">
        <v>208</v>
      </c>
      <c r="F61" s="382">
        <v>44.71</v>
      </c>
      <c r="G61" s="206">
        <v>1</v>
      </c>
      <c r="H61" s="207">
        <v>1</v>
      </c>
      <c r="I61" s="327">
        <f t="shared" ref="I61:I92" si="27">IF(C61=0,"",D61*1/G61*H61)</f>
        <v>304</v>
      </c>
      <c r="J61" s="478">
        <f t="shared" si="11"/>
        <v>13592</v>
      </c>
      <c r="K61" s="208"/>
      <c r="L61" s="208"/>
      <c r="M61" s="209"/>
      <c r="N61" s="208"/>
      <c r="O61" s="210">
        <v>0</v>
      </c>
      <c r="P61" s="211"/>
      <c r="Q61" s="212"/>
      <c r="R61" s="213"/>
      <c r="S61" s="214"/>
      <c r="T61" s="215" t="s">
        <v>314</v>
      </c>
      <c r="U61" s="216" t="s">
        <v>314</v>
      </c>
      <c r="V61" s="217" t="s">
        <v>314</v>
      </c>
      <c r="W61" s="218"/>
    </row>
    <row r="62" spans="2:23" ht="12.95" customHeight="1">
      <c r="B62" s="883"/>
      <c r="C62" s="552" t="s">
        <v>301</v>
      </c>
      <c r="D62" s="170">
        <v>41</v>
      </c>
      <c r="E62" s="185" t="s">
        <v>232</v>
      </c>
      <c r="F62" s="383">
        <v>237</v>
      </c>
      <c r="G62" s="172">
        <v>5</v>
      </c>
      <c r="H62" s="173">
        <v>1</v>
      </c>
      <c r="I62" s="328">
        <f t="shared" si="27"/>
        <v>8.1999999999999993</v>
      </c>
      <c r="J62" s="479">
        <f t="shared" si="11"/>
        <v>1943</v>
      </c>
      <c r="K62" s="174"/>
      <c r="L62" s="174"/>
      <c r="M62" s="175"/>
      <c r="N62" s="174"/>
      <c r="O62" s="176">
        <v>0</v>
      </c>
      <c r="P62" s="177"/>
      <c r="Q62" s="178"/>
      <c r="R62" s="179"/>
      <c r="S62" s="180"/>
      <c r="T62" s="181" t="s">
        <v>314</v>
      </c>
      <c r="U62" s="182" t="s">
        <v>314</v>
      </c>
      <c r="V62" s="183" t="s">
        <v>314</v>
      </c>
      <c r="W62" s="237"/>
    </row>
    <row r="63" spans="2:23" ht="12.95" customHeight="1">
      <c r="B63" s="883"/>
      <c r="C63" s="552" t="s">
        <v>302</v>
      </c>
      <c r="D63" s="170">
        <v>41</v>
      </c>
      <c r="E63" s="185" t="s">
        <v>117</v>
      </c>
      <c r="F63" s="383">
        <v>240</v>
      </c>
      <c r="G63" s="172">
        <v>10</v>
      </c>
      <c r="H63" s="173">
        <v>1</v>
      </c>
      <c r="I63" s="328">
        <f t="shared" si="27"/>
        <v>4.0999999999999996</v>
      </c>
      <c r="J63" s="479">
        <f t="shared" si="11"/>
        <v>984</v>
      </c>
      <c r="K63" s="174"/>
      <c r="L63" s="174"/>
      <c r="M63" s="175"/>
      <c r="N63" s="174"/>
      <c r="O63" s="176">
        <v>0</v>
      </c>
      <c r="P63" s="177"/>
      <c r="Q63" s="178"/>
      <c r="R63" s="179"/>
      <c r="S63" s="180"/>
      <c r="T63" s="181" t="s">
        <v>314</v>
      </c>
      <c r="U63" s="182" t="s">
        <v>314</v>
      </c>
      <c r="V63" s="183" t="s">
        <v>314</v>
      </c>
      <c r="W63" s="240"/>
    </row>
    <row r="64" spans="2:23" ht="12.95" customHeight="1">
      <c r="B64" s="883"/>
      <c r="C64" s="552" t="s">
        <v>303</v>
      </c>
      <c r="D64" s="170">
        <v>5200</v>
      </c>
      <c r="E64" s="185" t="s">
        <v>117</v>
      </c>
      <c r="F64" s="383">
        <v>1.93</v>
      </c>
      <c r="G64" s="172">
        <v>5</v>
      </c>
      <c r="H64" s="173">
        <v>1</v>
      </c>
      <c r="I64" s="328">
        <f t="shared" si="27"/>
        <v>1040</v>
      </c>
      <c r="J64" s="479">
        <f t="shared" si="11"/>
        <v>2007</v>
      </c>
      <c r="K64" s="174"/>
      <c r="L64" s="174"/>
      <c r="M64" s="175"/>
      <c r="N64" s="174"/>
      <c r="O64" s="176">
        <v>0</v>
      </c>
      <c r="P64" s="177"/>
      <c r="Q64" s="178"/>
      <c r="R64" s="179"/>
      <c r="S64" s="180"/>
      <c r="T64" s="181" t="s">
        <v>314</v>
      </c>
      <c r="U64" s="182" t="s">
        <v>314</v>
      </c>
      <c r="V64" s="183" t="s">
        <v>314</v>
      </c>
      <c r="W64" s="240"/>
    </row>
    <row r="65" spans="2:23" ht="12.95" customHeight="1">
      <c r="B65" s="883"/>
      <c r="C65" s="552" t="s">
        <v>584</v>
      </c>
      <c r="D65" s="170">
        <v>440</v>
      </c>
      <c r="E65" s="185" t="s">
        <v>213</v>
      </c>
      <c r="F65" s="383">
        <v>52.5</v>
      </c>
      <c r="G65" s="172">
        <v>3</v>
      </c>
      <c r="H65" s="173">
        <v>1</v>
      </c>
      <c r="I65" s="328">
        <f t="shared" si="27"/>
        <v>146.66666666666666</v>
      </c>
      <c r="J65" s="479">
        <f t="shared" si="11"/>
        <v>7700</v>
      </c>
      <c r="K65" s="174"/>
      <c r="L65" s="174"/>
      <c r="M65" s="175"/>
      <c r="N65" s="174"/>
      <c r="O65" s="176"/>
      <c r="P65" s="177"/>
      <c r="Q65" s="178"/>
      <c r="R65" s="179"/>
      <c r="S65" s="180"/>
      <c r="T65" s="181"/>
      <c r="U65" s="182"/>
      <c r="V65" s="183"/>
      <c r="W65" s="240"/>
    </row>
    <row r="66" spans="2:23" ht="12.95" customHeight="1">
      <c r="B66" s="883"/>
      <c r="C66" s="552" t="s">
        <v>481</v>
      </c>
      <c r="D66" s="170">
        <v>5</v>
      </c>
      <c r="E66" s="185" t="s">
        <v>117</v>
      </c>
      <c r="F66" s="383">
        <v>1018</v>
      </c>
      <c r="G66" s="172">
        <v>10</v>
      </c>
      <c r="H66" s="173">
        <v>1</v>
      </c>
      <c r="I66" s="328">
        <f t="shared" si="27"/>
        <v>0.5</v>
      </c>
      <c r="J66" s="479">
        <f t="shared" si="11"/>
        <v>509</v>
      </c>
      <c r="K66" s="174"/>
      <c r="L66" s="174"/>
      <c r="M66" s="175"/>
      <c r="N66" s="174"/>
      <c r="O66" s="176">
        <v>0</v>
      </c>
      <c r="P66" s="177"/>
      <c r="Q66" s="178"/>
      <c r="R66" s="179"/>
      <c r="S66" s="180"/>
      <c r="T66" s="181" t="s">
        <v>314</v>
      </c>
      <c r="U66" s="182" t="s">
        <v>314</v>
      </c>
      <c r="V66" s="183" t="s">
        <v>314</v>
      </c>
      <c r="W66" s="240"/>
    </row>
    <row r="67" spans="2:23" ht="12.95" customHeight="1">
      <c r="B67" s="883"/>
      <c r="C67" s="552" t="s">
        <v>304</v>
      </c>
      <c r="D67" s="170">
        <v>10400</v>
      </c>
      <c r="E67" s="185" t="s">
        <v>117</v>
      </c>
      <c r="F67" s="383">
        <v>60</v>
      </c>
      <c r="G67" s="172">
        <v>7</v>
      </c>
      <c r="H67" s="173">
        <v>1</v>
      </c>
      <c r="I67" s="328">
        <f t="shared" si="27"/>
        <v>1485.7142857142858</v>
      </c>
      <c r="J67" s="479">
        <f t="shared" si="11"/>
        <v>89143</v>
      </c>
      <c r="K67" s="174"/>
      <c r="L67" s="174"/>
      <c r="M67" s="175"/>
      <c r="N67" s="174"/>
      <c r="O67" s="176">
        <v>0</v>
      </c>
      <c r="P67" s="177"/>
      <c r="Q67" s="178"/>
      <c r="R67" s="179"/>
      <c r="S67" s="180"/>
      <c r="T67" s="181" t="s">
        <v>314</v>
      </c>
      <c r="U67" s="182" t="s">
        <v>314</v>
      </c>
      <c r="V67" s="183" t="s">
        <v>314</v>
      </c>
      <c r="W67" s="240"/>
    </row>
    <row r="68" spans="2:23" ht="12.95" customHeight="1">
      <c r="B68" s="883"/>
      <c r="C68" s="552" t="s">
        <v>572</v>
      </c>
      <c r="D68" s="170">
        <v>7800</v>
      </c>
      <c r="E68" s="185" t="s">
        <v>213</v>
      </c>
      <c r="F68" s="383">
        <v>2.5750000000000002</v>
      </c>
      <c r="G68" s="172">
        <v>2</v>
      </c>
      <c r="H68" s="173">
        <v>1</v>
      </c>
      <c r="I68" s="328">
        <f t="shared" si="27"/>
        <v>3900</v>
      </c>
      <c r="J68" s="479">
        <f t="shared" si="11"/>
        <v>10043</v>
      </c>
      <c r="K68" s="174"/>
      <c r="L68" s="174"/>
      <c r="M68" s="175"/>
      <c r="N68" s="174"/>
      <c r="O68" s="176">
        <v>0</v>
      </c>
      <c r="P68" s="177"/>
      <c r="Q68" s="178"/>
      <c r="R68" s="179"/>
      <c r="S68" s="180"/>
      <c r="T68" s="181" t="s">
        <v>314</v>
      </c>
      <c r="U68" s="182" t="s">
        <v>314</v>
      </c>
      <c r="V68" s="183" t="s">
        <v>314</v>
      </c>
      <c r="W68" s="240"/>
    </row>
    <row r="69" spans="2:23" ht="12.95" customHeight="1">
      <c r="B69" s="883"/>
      <c r="C69" s="552" t="s">
        <v>305</v>
      </c>
      <c r="D69" s="170">
        <v>2</v>
      </c>
      <c r="E69" s="185" t="s">
        <v>219</v>
      </c>
      <c r="F69" s="383">
        <v>770</v>
      </c>
      <c r="G69" s="172">
        <v>7</v>
      </c>
      <c r="H69" s="173">
        <v>1</v>
      </c>
      <c r="I69" s="328">
        <f t="shared" si="27"/>
        <v>0.2857142857142857</v>
      </c>
      <c r="J69" s="479">
        <f t="shared" si="11"/>
        <v>220</v>
      </c>
      <c r="K69" s="174"/>
      <c r="L69" s="174"/>
      <c r="M69" s="175"/>
      <c r="N69" s="174"/>
      <c r="O69" s="176">
        <v>0</v>
      </c>
      <c r="P69" s="177"/>
      <c r="Q69" s="178"/>
      <c r="R69" s="179"/>
      <c r="S69" s="180"/>
      <c r="T69" s="181" t="s">
        <v>314</v>
      </c>
      <c r="U69" s="182" t="s">
        <v>314</v>
      </c>
      <c r="V69" s="183" t="s">
        <v>314</v>
      </c>
      <c r="W69" s="240"/>
    </row>
    <row r="70" spans="2:23" ht="12.95" customHeight="1">
      <c r="B70" s="883"/>
      <c r="C70" s="552" t="s">
        <v>306</v>
      </c>
      <c r="D70" s="170">
        <v>2</v>
      </c>
      <c r="E70" s="185" t="s">
        <v>219</v>
      </c>
      <c r="F70" s="383">
        <v>1760</v>
      </c>
      <c r="G70" s="172">
        <v>7</v>
      </c>
      <c r="H70" s="173">
        <v>1</v>
      </c>
      <c r="I70" s="328">
        <f t="shared" si="27"/>
        <v>0.2857142857142857</v>
      </c>
      <c r="J70" s="479">
        <f t="shared" si="11"/>
        <v>503</v>
      </c>
      <c r="K70" s="174"/>
      <c r="L70" s="174"/>
      <c r="M70" s="175"/>
      <c r="N70" s="174"/>
      <c r="O70" s="176">
        <v>0</v>
      </c>
      <c r="P70" s="177"/>
      <c r="Q70" s="178"/>
      <c r="R70" s="179"/>
      <c r="S70" s="180"/>
      <c r="T70" s="181" t="s">
        <v>314</v>
      </c>
      <c r="U70" s="182" t="s">
        <v>314</v>
      </c>
      <c r="V70" s="183" t="s">
        <v>314</v>
      </c>
      <c r="W70" s="240"/>
    </row>
    <row r="71" spans="2:23" ht="12.95" customHeight="1">
      <c r="B71" s="883"/>
      <c r="C71" s="552" t="s">
        <v>482</v>
      </c>
      <c r="D71" s="170">
        <v>600</v>
      </c>
      <c r="E71" s="185" t="s">
        <v>213</v>
      </c>
      <c r="F71" s="383">
        <v>58.1</v>
      </c>
      <c r="G71" s="172">
        <v>2</v>
      </c>
      <c r="H71" s="173">
        <v>1</v>
      </c>
      <c r="I71" s="328">
        <f t="shared" si="27"/>
        <v>300</v>
      </c>
      <c r="J71" s="479">
        <f t="shared" si="11"/>
        <v>17430</v>
      </c>
      <c r="K71" s="174"/>
      <c r="L71" s="174"/>
      <c r="M71" s="175"/>
      <c r="N71" s="174"/>
      <c r="O71" s="176">
        <v>0</v>
      </c>
      <c r="P71" s="177"/>
      <c r="Q71" s="178"/>
      <c r="R71" s="179"/>
      <c r="S71" s="180"/>
      <c r="T71" s="181" t="s">
        <v>314</v>
      </c>
      <c r="U71" s="182" t="s">
        <v>314</v>
      </c>
      <c r="V71" s="183" t="s">
        <v>314</v>
      </c>
      <c r="W71" s="240"/>
    </row>
    <row r="72" spans="2:23" ht="12.95" customHeight="1">
      <c r="B72" s="883"/>
      <c r="C72" s="552" t="s">
        <v>307</v>
      </c>
      <c r="D72" s="170">
        <v>2</v>
      </c>
      <c r="E72" s="185" t="s">
        <v>162</v>
      </c>
      <c r="F72" s="383">
        <v>20000</v>
      </c>
      <c r="G72" s="172">
        <v>7</v>
      </c>
      <c r="H72" s="173">
        <v>1</v>
      </c>
      <c r="I72" s="328">
        <f t="shared" si="27"/>
        <v>0.2857142857142857</v>
      </c>
      <c r="J72" s="479">
        <f t="shared" si="11"/>
        <v>5714</v>
      </c>
      <c r="K72" s="174"/>
      <c r="L72" s="174"/>
      <c r="M72" s="175"/>
      <c r="N72" s="174"/>
      <c r="O72" s="176">
        <v>0</v>
      </c>
      <c r="P72" s="177"/>
      <c r="Q72" s="178"/>
      <c r="R72" s="179"/>
      <c r="S72" s="180"/>
      <c r="T72" s="181" t="s">
        <v>314</v>
      </c>
      <c r="U72" s="182" t="s">
        <v>314</v>
      </c>
      <c r="V72" s="183" t="s">
        <v>314</v>
      </c>
      <c r="W72" s="240"/>
    </row>
    <row r="73" spans="2:23" ht="12.95" customHeight="1">
      <c r="B73" s="883"/>
      <c r="C73" s="552" t="s">
        <v>573</v>
      </c>
      <c r="D73" s="170">
        <v>1</v>
      </c>
      <c r="E73" s="185" t="s">
        <v>162</v>
      </c>
      <c r="F73" s="383">
        <v>38800</v>
      </c>
      <c r="G73" s="172">
        <v>7</v>
      </c>
      <c r="H73" s="173">
        <v>1</v>
      </c>
      <c r="I73" s="328">
        <f t="shared" si="27"/>
        <v>0.14285714285714285</v>
      </c>
      <c r="J73" s="479">
        <f t="shared" si="11"/>
        <v>5543</v>
      </c>
      <c r="K73" s="174"/>
      <c r="L73" s="174"/>
      <c r="M73" s="175"/>
      <c r="N73" s="174"/>
      <c r="O73" s="176">
        <v>0</v>
      </c>
      <c r="P73" s="177"/>
      <c r="Q73" s="178"/>
      <c r="R73" s="179"/>
      <c r="S73" s="180"/>
      <c r="T73" s="181" t="s">
        <v>314</v>
      </c>
      <c r="U73" s="182" t="s">
        <v>314</v>
      </c>
      <c r="V73" s="183" t="s">
        <v>314</v>
      </c>
      <c r="W73" s="240"/>
    </row>
    <row r="74" spans="2:23" ht="12.95" customHeight="1">
      <c r="B74" s="883"/>
      <c r="C74" s="552" t="s">
        <v>574</v>
      </c>
      <c r="D74" s="170">
        <v>1</v>
      </c>
      <c r="E74" s="185" t="s">
        <v>485</v>
      </c>
      <c r="F74" s="383">
        <v>50000</v>
      </c>
      <c r="G74" s="172">
        <v>5</v>
      </c>
      <c r="H74" s="173">
        <v>1</v>
      </c>
      <c r="I74" s="328">
        <f t="shared" si="27"/>
        <v>0.2</v>
      </c>
      <c r="J74" s="479">
        <f t="shared" si="11"/>
        <v>10000</v>
      </c>
      <c r="K74" s="174"/>
      <c r="L74" s="174"/>
      <c r="M74" s="175"/>
      <c r="N74" s="174"/>
      <c r="O74" s="176"/>
      <c r="P74" s="177"/>
      <c r="Q74" s="178"/>
      <c r="R74" s="179"/>
      <c r="S74" s="180"/>
      <c r="T74" s="181"/>
      <c r="U74" s="182"/>
      <c r="V74" s="183"/>
      <c r="W74" s="240"/>
    </row>
    <row r="75" spans="2:23" ht="12.95" customHeight="1">
      <c r="B75" s="883"/>
      <c r="C75" s="552" t="s">
        <v>579</v>
      </c>
      <c r="D75" s="170">
        <v>1</v>
      </c>
      <c r="E75" s="185" t="s">
        <v>237</v>
      </c>
      <c r="F75" s="383">
        <v>19800</v>
      </c>
      <c r="G75" s="172">
        <v>3</v>
      </c>
      <c r="H75" s="173">
        <v>1</v>
      </c>
      <c r="I75" s="328">
        <f t="shared" si="27"/>
        <v>0.33333333333333331</v>
      </c>
      <c r="J75" s="479">
        <f t="shared" ref="J75:J92" si="28">IF(C75=0,"",ROUND(F75*I75,0))</f>
        <v>6600</v>
      </c>
      <c r="K75" s="174"/>
      <c r="L75" s="174"/>
      <c r="M75" s="175"/>
      <c r="N75" s="174"/>
      <c r="O75" s="176">
        <v>0</v>
      </c>
      <c r="P75" s="177"/>
      <c r="Q75" s="178"/>
      <c r="R75" s="179"/>
      <c r="S75" s="180"/>
      <c r="T75" s="181" t="s">
        <v>314</v>
      </c>
      <c r="U75" s="182" t="s">
        <v>314</v>
      </c>
      <c r="V75" s="183" t="s">
        <v>314</v>
      </c>
      <c r="W75" s="240"/>
    </row>
    <row r="76" spans="2:23" ht="12.95" customHeight="1">
      <c r="B76" s="883"/>
      <c r="C76" s="552" t="s">
        <v>633</v>
      </c>
      <c r="D76" s="170">
        <v>1</v>
      </c>
      <c r="E76" s="185" t="s">
        <v>485</v>
      </c>
      <c r="F76" s="383">
        <v>450000</v>
      </c>
      <c r="G76" s="172">
        <v>4</v>
      </c>
      <c r="H76" s="173">
        <v>1</v>
      </c>
      <c r="I76" s="328">
        <f t="shared" si="27"/>
        <v>0.25</v>
      </c>
      <c r="J76" s="479">
        <f t="shared" si="28"/>
        <v>112500</v>
      </c>
      <c r="K76" s="174"/>
      <c r="L76" s="174"/>
      <c r="M76" s="175"/>
      <c r="N76" s="174"/>
      <c r="O76" s="176">
        <v>0</v>
      </c>
      <c r="P76" s="177"/>
      <c r="Q76" s="178"/>
      <c r="R76" s="179"/>
      <c r="S76" s="180"/>
      <c r="T76" s="181" t="s">
        <v>314</v>
      </c>
      <c r="U76" s="182" t="s">
        <v>314</v>
      </c>
      <c r="V76" s="183" t="s">
        <v>314</v>
      </c>
      <c r="W76" s="240" t="s">
        <v>635</v>
      </c>
    </row>
    <row r="77" spans="2:23" ht="12.95" customHeight="1">
      <c r="B77" s="883"/>
      <c r="C77" s="552" t="s">
        <v>585</v>
      </c>
      <c r="D77" s="170">
        <v>115</v>
      </c>
      <c r="E77" s="185" t="s">
        <v>232</v>
      </c>
      <c r="F77" s="383">
        <v>59.7</v>
      </c>
      <c r="G77" s="172">
        <v>1</v>
      </c>
      <c r="H77" s="173">
        <v>1</v>
      </c>
      <c r="I77" s="328">
        <f t="shared" si="27"/>
        <v>115</v>
      </c>
      <c r="J77" s="479">
        <f t="shared" si="28"/>
        <v>6866</v>
      </c>
      <c r="K77" s="174"/>
      <c r="L77" s="174"/>
      <c r="M77" s="175"/>
      <c r="N77" s="174"/>
      <c r="O77" s="176">
        <f t="shared" si="16"/>
        <v>0</v>
      </c>
      <c r="P77" s="177"/>
      <c r="Q77" s="178"/>
      <c r="R77" s="179"/>
      <c r="S77" s="180"/>
      <c r="T77" s="181" t="str">
        <f t="shared" ref="T77:T92" si="29">IF(Q77="","",Q77*$D77)</f>
        <v/>
      </c>
      <c r="U77" s="182" t="str">
        <f t="shared" ref="U77:U92" si="30">IF(R77="","",R77*$D77)</f>
        <v/>
      </c>
      <c r="V77" s="183" t="str">
        <f t="shared" ref="V77:V92" si="31">IF(S77="","",S77*$D77)</f>
        <v/>
      </c>
      <c r="W77" s="240"/>
    </row>
    <row r="78" spans="2:23" ht="12.95" customHeight="1">
      <c r="B78" s="883"/>
      <c r="C78" s="552"/>
      <c r="D78" s="170"/>
      <c r="E78" s="185"/>
      <c r="F78" s="383"/>
      <c r="G78" s="172"/>
      <c r="H78" s="173"/>
      <c r="I78" s="328" t="str">
        <f t="shared" si="27"/>
        <v/>
      </c>
      <c r="J78" s="479" t="str">
        <f t="shared" si="28"/>
        <v/>
      </c>
      <c r="K78" s="174"/>
      <c r="L78" s="174"/>
      <c r="M78" s="175"/>
      <c r="N78" s="174"/>
      <c r="O78" s="176">
        <f t="shared" si="16"/>
        <v>0</v>
      </c>
      <c r="P78" s="177"/>
      <c r="Q78" s="178"/>
      <c r="R78" s="179"/>
      <c r="S78" s="180"/>
      <c r="T78" s="181" t="str">
        <f t="shared" si="29"/>
        <v/>
      </c>
      <c r="U78" s="182" t="str">
        <f t="shared" si="30"/>
        <v/>
      </c>
      <c r="V78" s="183" t="str">
        <f t="shared" si="31"/>
        <v/>
      </c>
      <c r="W78" s="240"/>
    </row>
    <row r="79" spans="2:23" ht="12.95" customHeight="1">
      <c r="B79" s="883"/>
      <c r="C79" s="552"/>
      <c r="D79" s="170"/>
      <c r="E79" s="185"/>
      <c r="F79" s="383"/>
      <c r="G79" s="172"/>
      <c r="H79" s="173"/>
      <c r="I79" s="328" t="str">
        <f t="shared" si="27"/>
        <v/>
      </c>
      <c r="J79" s="479" t="str">
        <f t="shared" si="28"/>
        <v/>
      </c>
      <c r="K79" s="174"/>
      <c r="L79" s="174"/>
      <c r="M79" s="175"/>
      <c r="N79" s="174"/>
      <c r="O79" s="176">
        <f t="shared" si="16"/>
        <v>0</v>
      </c>
      <c r="P79" s="177"/>
      <c r="Q79" s="178"/>
      <c r="R79" s="179"/>
      <c r="S79" s="180"/>
      <c r="T79" s="181" t="str">
        <f t="shared" si="29"/>
        <v/>
      </c>
      <c r="U79" s="182" t="str">
        <f t="shared" si="30"/>
        <v/>
      </c>
      <c r="V79" s="183" t="str">
        <f t="shared" si="31"/>
        <v/>
      </c>
      <c r="W79" s="240"/>
    </row>
    <row r="80" spans="2:23" ht="12.95" customHeight="1">
      <c r="B80" s="883"/>
      <c r="C80" s="552"/>
      <c r="D80" s="170"/>
      <c r="E80" s="185"/>
      <c r="F80" s="383"/>
      <c r="G80" s="172"/>
      <c r="H80" s="173"/>
      <c r="I80" s="328" t="str">
        <f t="shared" si="27"/>
        <v/>
      </c>
      <c r="J80" s="479" t="str">
        <f t="shared" si="28"/>
        <v/>
      </c>
      <c r="K80" s="174"/>
      <c r="L80" s="174"/>
      <c r="M80" s="175"/>
      <c r="N80" s="174"/>
      <c r="O80" s="176">
        <f t="shared" si="16"/>
        <v>0</v>
      </c>
      <c r="P80" s="177"/>
      <c r="Q80" s="178"/>
      <c r="R80" s="179"/>
      <c r="S80" s="180"/>
      <c r="T80" s="181" t="str">
        <f t="shared" si="29"/>
        <v/>
      </c>
      <c r="U80" s="182" t="str">
        <f t="shared" si="30"/>
        <v/>
      </c>
      <c r="V80" s="183" t="str">
        <f t="shared" si="31"/>
        <v/>
      </c>
      <c r="W80" s="240"/>
    </row>
    <row r="81" spans="2:23" ht="12.95" customHeight="1">
      <c r="B81" s="883"/>
      <c r="C81" s="552"/>
      <c r="D81" s="170"/>
      <c r="E81" s="185"/>
      <c r="F81" s="383"/>
      <c r="G81" s="172"/>
      <c r="H81" s="173"/>
      <c r="I81" s="328" t="str">
        <f t="shared" si="27"/>
        <v/>
      </c>
      <c r="J81" s="479" t="str">
        <f t="shared" si="28"/>
        <v/>
      </c>
      <c r="K81" s="174"/>
      <c r="L81" s="174"/>
      <c r="M81" s="175"/>
      <c r="N81" s="174"/>
      <c r="O81" s="176">
        <f t="shared" si="16"/>
        <v>0</v>
      </c>
      <c r="P81" s="177"/>
      <c r="Q81" s="178"/>
      <c r="R81" s="179"/>
      <c r="S81" s="180"/>
      <c r="T81" s="181" t="str">
        <f t="shared" si="29"/>
        <v/>
      </c>
      <c r="U81" s="182" t="str">
        <f t="shared" si="30"/>
        <v/>
      </c>
      <c r="V81" s="183" t="str">
        <f t="shared" si="31"/>
        <v/>
      </c>
      <c r="W81" s="240"/>
    </row>
    <row r="82" spans="2:23" ht="12.95" hidden="1" customHeight="1" outlineLevel="1">
      <c r="B82" s="883"/>
      <c r="C82" s="563"/>
      <c r="D82" s="170"/>
      <c r="E82" s="185"/>
      <c r="F82" s="383"/>
      <c r="G82" s="186"/>
      <c r="H82" s="173"/>
      <c r="I82" s="328" t="str">
        <f t="shared" si="27"/>
        <v/>
      </c>
      <c r="J82" s="479" t="str">
        <f t="shared" si="28"/>
        <v/>
      </c>
      <c r="K82" s="174"/>
      <c r="L82" s="174"/>
      <c r="M82" s="175"/>
      <c r="N82" s="174"/>
      <c r="O82" s="176">
        <f t="shared" si="16"/>
        <v>0</v>
      </c>
      <c r="P82" s="177"/>
      <c r="Q82" s="178"/>
      <c r="R82" s="179"/>
      <c r="S82" s="180"/>
      <c r="T82" s="181" t="str">
        <f t="shared" si="29"/>
        <v/>
      </c>
      <c r="U82" s="182" t="str">
        <f t="shared" si="30"/>
        <v/>
      </c>
      <c r="V82" s="183" t="str">
        <f t="shared" si="31"/>
        <v/>
      </c>
      <c r="W82" s="240"/>
    </row>
    <row r="83" spans="2:23" ht="12.95" hidden="1" customHeight="1" outlineLevel="1">
      <c r="B83" s="883"/>
      <c r="C83" s="552"/>
      <c r="D83" s="170"/>
      <c r="E83" s="185"/>
      <c r="F83" s="383"/>
      <c r="G83" s="172"/>
      <c r="H83" s="173"/>
      <c r="I83" s="328" t="str">
        <f t="shared" si="27"/>
        <v/>
      </c>
      <c r="J83" s="479" t="str">
        <f t="shared" si="28"/>
        <v/>
      </c>
      <c r="K83" s="174"/>
      <c r="L83" s="174"/>
      <c r="M83" s="175"/>
      <c r="N83" s="174"/>
      <c r="O83" s="176">
        <f t="shared" ref="O83:O127" si="32">IF(K83*L83*N83=0,0,(L83*N83)/K83)</f>
        <v>0</v>
      </c>
      <c r="P83" s="177"/>
      <c r="Q83" s="178"/>
      <c r="R83" s="179"/>
      <c r="S83" s="180"/>
      <c r="T83" s="181" t="str">
        <f t="shared" si="29"/>
        <v/>
      </c>
      <c r="U83" s="182" t="str">
        <f t="shared" si="30"/>
        <v/>
      </c>
      <c r="V83" s="183" t="str">
        <f t="shared" si="31"/>
        <v/>
      </c>
      <c r="W83" s="240"/>
    </row>
    <row r="84" spans="2:23" ht="12.95" hidden="1" customHeight="1" outlineLevel="1">
      <c r="B84" s="883"/>
      <c r="C84" s="552"/>
      <c r="D84" s="170"/>
      <c r="E84" s="185"/>
      <c r="F84" s="383"/>
      <c r="G84" s="172"/>
      <c r="H84" s="173"/>
      <c r="I84" s="328" t="str">
        <f t="shared" si="27"/>
        <v/>
      </c>
      <c r="J84" s="479" t="str">
        <f t="shared" si="28"/>
        <v/>
      </c>
      <c r="K84" s="174"/>
      <c r="L84" s="174"/>
      <c r="M84" s="175"/>
      <c r="N84" s="174"/>
      <c r="O84" s="176">
        <f t="shared" si="32"/>
        <v>0</v>
      </c>
      <c r="P84" s="177"/>
      <c r="Q84" s="178"/>
      <c r="R84" s="179"/>
      <c r="S84" s="180"/>
      <c r="T84" s="181" t="str">
        <f t="shared" si="29"/>
        <v/>
      </c>
      <c r="U84" s="182" t="str">
        <f t="shared" si="30"/>
        <v/>
      </c>
      <c r="V84" s="183" t="str">
        <f t="shared" si="31"/>
        <v/>
      </c>
      <c r="W84" s="240"/>
    </row>
    <row r="85" spans="2:23" ht="12.95" hidden="1" customHeight="1" outlineLevel="1">
      <c r="B85" s="883"/>
      <c r="C85" s="562"/>
      <c r="D85" s="170"/>
      <c r="E85" s="184"/>
      <c r="F85" s="383"/>
      <c r="G85" s="172"/>
      <c r="H85" s="173"/>
      <c r="I85" s="328" t="str">
        <f t="shared" si="27"/>
        <v/>
      </c>
      <c r="J85" s="479" t="str">
        <f t="shared" si="28"/>
        <v/>
      </c>
      <c r="K85" s="174"/>
      <c r="L85" s="174"/>
      <c r="M85" s="175"/>
      <c r="N85" s="174"/>
      <c r="O85" s="176">
        <f t="shared" si="32"/>
        <v>0</v>
      </c>
      <c r="P85" s="177"/>
      <c r="Q85" s="178"/>
      <c r="R85" s="179"/>
      <c r="S85" s="180"/>
      <c r="T85" s="181" t="str">
        <f t="shared" si="29"/>
        <v/>
      </c>
      <c r="U85" s="182" t="str">
        <f t="shared" si="30"/>
        <v/>
      </c>
      <c r="V85" s="183" t="str">
        <f t="shared" si="31"/>
        <v/>
      </c>
      <c r="W85" s="240"/>
    </row>
    <row r="86" spans="2:23" ht="12.95" hidden="1" customHeight="1" outlineLevel="1">
      <c r="B86" s="883"/>
      <c r="C86" s="552"/>
      <c r="D86" s="170"/>
      <c r="E86" s="185"/>
      <c r="F86" s="383"/>
      <c r="G86" s="172"/>
      <c r="H86" s="173"/>
      <c r="I86" s="328" t="str">
        <f t="shared" si="27"/>
        <v/>
      </c>
      <c r="J86" s="479" t="str">
        <f t="shared" si="28"/>
        <v/>
      </c>
      <c r="K86" s="174"/>
      <c r="L86" s="174"/>
      <c r="M86" s="175"/>
      <c r="N86" s="174"/>
      <c r="O86" s="176">
        <f t="shared" si="32"/>
        <v>0</v>
      </c>
      <c r="P86" s="177"/>
      <c r="Q86" s="178"/>
      <c r="R86" s="179"/>
      <c r="S86" s="180"/>
      <c r="T86" s="181" t="str">
        <f t="shared" si="29"/>
        <v/>
      </c>
      <c r="U86" s="182" t="str">
        <f t="shared" si="30"/>
        <v/>
      </c>
      <c r="V86" s="183" t="str">
        <f t="shared" si="31"/>
        <v/>
      </c>
      <c r="W86" s="240"/>
    </row>
    <row r="87" spans="2:23" ht="12.95" hidden="1" customHeight="1" outlineLevel="1">
      <c r="B87" s="883"/>
      <c r="C87" s="552"/>
      <c r="D87" s="170"/>
      <c r="E87" s="185"/>
      <c r="F87" s="383"/>
      <c r="G87" s="172"/>
      <c r="H87" s="173"/>
      <c r="I87" s="328" t="str">
        <f t="shared" si="27"/>
        <v/>
      </c>
      <c r="J87" s="479" t="str">
        <f t="shared" si="28"/>
        <v/>
      </c>
      <c r="K87" s="174"/>
      <c r="L87" s="174"/>
      <c r="M87" s="175"/>
      <c r="N87" s="174"/>
      <c r="O87" s="176">
        <f t="shared" si="32"/>
        <v>0</v>
      </c>
      <c r="P87" s="177"/>
      <c r="Q87" s="178"/>
      <c r="R87" s="179"/>
      <c r="S87" s="180"/>
      <c r="T87" s="181" t="str">
        <f t="shared" si="29"/>
        <v/>
      </c>
      <c r="U87" s="182" t="str">
        <f t="shared" si="30"/>
        <v/>
      </c>
      <c r="V87" s="183" t="str">
        <f t="shared" si="31"/>
        <v/>
      </c>
      <c r="W87" s="240"/>
    </row>
    <row r="88" spans="2:23" ht="12.95" hidden="1" customHeight="1" outlineLevel="1">
      <c r="B88" s="883"/>
      <c r="C88" s="552"/>
      <c r="D88" s="170"/>
      <c r="E88" s="185"/>
      <c r="F88" s="383"/>
      <c r="G88" s="172"/>
      <c r="H88" s="173"/>
      <c r="I88" s="328" t="str">
        <f t="shared" si="27"/>
        <v/>
      </c>
      <c r="J88" s="479" t="str">
        <f t="shared" si="28"/>
        <v/>
      </c>
      <c r="K88" s="174"/>
      <c r="L88" s="174"/>
      <c r="M88" s="175"/>
      <c r="N88" s="174"/>
      <c r="O88" s="176">
        <f t="shared" si="32"/>
        <v>0</v>
      </c>
      <c r="P88" s="177"/>
      <c r="Q88" s="178"/>
      <c r="R88" s="179"/>
      <c r="S88" s="180"/>
      <c r="T88" s="181" t="str">
        <f t="shared" si="29"/>
        <v/>
      </c>
      <c r="U88" s="182" t="str">
        <f t="shared" si="30"/>
        <v/>
      </c>
      <c r="V88" s="183" t="str">
        <f t="shared" si="31"/>
        <v/>
      </c>
      <c r="W88" s="240"/>
    </row>
    <row r="89" spans="2:23" ht="12.95" hidden="1" customHeight="1" outlineLevel="1">
      <c r="B89" s="883"/>
      <c r="C89" s="552"/>
      <c r="D89" s="170"/>
      <c r="E89" s="185"/>
      <c r="F89" s="383"/>
      <c r="G89" s="172"/>
      <c r="H89" s="173"/>
      <c r="I89" s="328" t="str">
        <f t="shared" si="27"/>
        <v/>
      </c>
      <c r="J89" s="479" t="str">
        <f t="shared" si="28"/>
        <v/>
      </c>
      <c r="K89" s="174"/>
      <c r="L89" s="174"/>
      <c r="M89" s="175"/>
      <c r="N89" s="174"/>
      <c r="O89" s="176">
        <f t="shared" si="32"/>
        <v>0</v>
      </c>
      <c r="P89" s="177"/>
      <c r="Q89" s="178"/>
      <c r="R89" s="179"/>
      <c r="S89" s="180"/>
      <c r="T89" s="181" t="str">
        <f t="shared" si="29"/>
        <v/>
      </c>
      <c r="U89" s="182" t="str">
        <f t="shared" si="30"/>
        <v/>
      </c>
      <c r="V89" s="183" t="str">
        <f t="shared" si="31"/>
        <v/>
      </c>
      <c r="W89" s="240"/>
    </row>
    <row r="90" spans="2:23" ht="12.95" hidden="1" customHeight="1" outlineLevel="1">
      <c r="B90" s="883"/>
      <c r="C90" s="552"/>
      <c r="D90" s="170"/>
      <c r="E90" s="185"/>
      <c r="F90" s="383"/>
      <c r="G90" s="172"/>
      <c r="H90" s="173"/>
      <c r="I90" s="328" t="str">
        <f t="shared" si="27"/>
        <v/>
      </c>
      <c r="J90" s="479" t="str">
        <f t="shared" si="28"/>
        <v/>
      </c>
      <c r="K90" s="174"/>
      <c r="L90" s="174"/>
      <c r="M90" s="175"/>
      <c r="N90" s="174"/>
      <c r="O90" s="176">
        <f t="shared" si="32"/>
        <v>0</v>
      </c>
      <c r="P90" s="177"/>
      <c r="Q90" s="178"/>
      <c r="R90" s="179"/>
      <c r="S90" s="180"/>
      <c r="T90" s="181" t="str">
        <f t="shared" si="29"/>
        <v/>
      </c>
      <c r="U90" s="182" t="str">
        <f t="shared" si="30"/>
        <v/>
      </c>
      <c r="V90" s="183" t="str">
        <f t="shared" si="31"/>
        <v/>
      </c>
      <c r="W90" s="240"/>
    </row>
    <row r="91" spans="2:23" ht="12.95" hidden="1" customHeight="1" outlineLevel="1">
      <c r="B91" s="883"/>
      <c r="C91" s="563"/>
      <c r="D91" s="170"/>
      <c r="E91" s="185"/>
      <c r="F91" s="383"/>
      <c r="G91" s="172"/>
      <c r="H91" s="173"/>
      <c r="I91" s="328" t="str">
        <f t="shared" si="27"/>
        <v/>
      </c>
      <c r="J91" s="479" t="str">
        <f t="shared" si="28"/>
        <v/>
      </c>
      <c r="K91" s="174"/>
      <c r="L91" s="174"/>
      <c r="M91" s="175"/>
      <c r="N91" s="174"/>
      <c r="O91" s="176">
        <f t="shared" si="32"/>
        <v>0</v>
      </c>
      <c r="P91" s="177"/>
      <c r="Q91" s="178"/>
      <c r="R91" s="179"/>
      <c r="S91" s="180"/>
      <c r="T91" s="181" t="str">
        <f t="shared" si="29"/>
        <v/>
      </c>
      <c r="U91" s="182" t="str">
        <f t="shared" si="30"/>
        <v/>
      </c>
      <c r="V91" s="183" t="str">
        <f t="shared" si="31"/>
        <v/>
      </c>
      <c r="W91" s="240"/>
    </row>
    <row r="92" spans="2:23" ht="12.95" hidden="1" customHeight="1" outlineLevel="1" thickBot="1">
      <c r="B92" s="883"/>
      <c r="C92" s="567"/>
      <c r="D92" s="221"/>
      <c r="E92" s="222"/>
      <c r="F92" s="384"/>
      <c r="G92" s="223"/>
      <c r="H92" s="224"/>
      <c r="I92" s="329" t="str">
        <f t="shared" si="27"/>
        <v/>
      </c>
      <c r="J92" s="480" t="str">
        <f t="shared" si="28"/>
        <v/>
      </c>
      <c r="K92" s="225"/>
      <c r="L92" s="225"/>
      <c r="M92" s="226"/>
      <c r="N92" s="225"/>
      <c r="O92" s="227">
        <f t="shared" si="32"/>
        <v>0</v>
      </c>
      <c r="P92" s="228"/>
      <c r="Q92" s="229"/>
      <c r="R92" s="230"/>
      <c r="S92" s="231"/>
      <c r="T92" s="232" t="str">
        <f t="shared" si="29"/>
        <v/>
      </c>
      <c r="U92" s="233" t="str">
        <f t="shared" si="30"/>
        <v/>
      </c>
      <c r="V92" s="234" t="str">
        <f t="shared" si="31"/>
        <v/>
      </c>
      <c r="W92" s="235"/>
    </row>
    <row r="93" spans="2:23" ht="12.95" customHeight="1" collapsed="1" thickBot="1">
      <c r="B93" s="884"/>
      <c r="C93" s="565" t="s">
        <v>316</v>
      </c>
      <c r="D93" s="220"/>
      <c r="E93" s="305"/>
      <c r="F93" s="385"/>
      <c r="G93" s="306"/>
      <c r="H93" s="307"/>
      <c r="I93" s="316"/>
      <c r="J93" s="477">
        <f>SUM(J61:J92)</f>
        <v>291297</v>
      </c>
      <c r="K93" s="308"/>
      <c r="L93" s="308"/>
      <c r="M93" s="309"/>
      <c r="N93" s="308"/>
      <c r="O93" s="310"/>
      <c r="P93" s="311"/>
      <c r="Q93" s="312"/>
      <c r="R93" s="313"/>
      <c r="S93" s="314"/>
      <c r="T93" s="315"/>
      <c r="U93" s="316"/>
      <c r="V93" s="317"/>
      <c r="W93" s="318"/>
    </row>
    <row r="94" spans="2:23" ht="12.95" customHeight="1">
      <c r="B94" s="882" t="s">
        <v>424</v>
      </c>
      <c r="C94" s="559"/>
      <c r="D94" s="204"/>
      <c r="E94" s="377"/>
      <c r="F94" s="382"/>
      <c r="G94" s="206"/>
      <c r="H94" s="207"/>
      <c r="I94" s="327" t="str">
        <f t="shared" ref="I94:I99" si="33">IF(C94=0,"",D94*1/G94*H94)</f>
        <v/>
      </c>
      <c r="J94" s="478" t="str">
        <f t="shared" ref="J94:J99" si="34">IF(C94=0,"",ROUND(F94*I94,0))</f>
        <v/>
      </c>
      <c r="K94" s="208"/>
      <c r="L94" s="208"/>
      <c r="M94" s="209"/>
      <c r="N94" s="208"/>
      <c r="O94" s="210">
        <f t="shared" ref="O94:O99" si="35">IF(K94*L94*N94=0,0,(L94*N94)/K94)</f>
        <v>0</v>
      </c>
      <c r="P94" s="211"/>
      <c r="Q94" s="212"/>
      <c r="R94" s="213"/>
      <c r="S94" s="214"/>
      <c r="T94" s="215" t="str">
        <f t="shared" ref="T94:V99" si="36">IF(Q94="","",Q94*$D94)</f>
        <v/>
      </c>
      <c r="U94" s="216" t="str">
        <f t="shared" si="36"/>
        <v/>
      </c>
      <c r="V94" s="217" t="str">
        <f t="shared" si="36"/>
        <v/>
      </c>
      <c r="W94" s="218"/>
    </row>
    <row r="95" spans="2:23" ht="12.95" customHeight="1">
      <c r="B95" s="883"/>
      <c r="C95" s="561"/>
      <c r="D95" s="170"/>
      <c r="E95" s="184"/>
      <c r="F95" s="383"/>
      <c r="G95" s="172"/>
      <c r="H95" s="173"/>
      <c r="I95" s="328" t="str">
        <f t="shared" si="33"/>
        <v/>
      </c>
      <c r="J95" s="479" t="str">
        <f t="shared" si="34"/>
        <v/>
      </c>
      <c r="K95" s="174"/>
      <c r="L95" s="174"/>
      <c r="M95" s="175"/>
      <c r="N95" s="174"/>
      <c r="O95" s="176">
        <f t="shared" si="35"/>
        <v>0</v>
      </c>
      <c r="P95" s="177"/>
      <c r="Q95" s="178"/>
      <c r="R95" s="179"/>
      <c r="S95" s="180"/>
      <c r="T95" s="181" t="str">
        <f t="shared" si="36"/>
        <v/>
      </c>
      <c r="U95" s="182" t="str">
        <f t="shared" si="36"/>
        <v/>
      </c>
      <c r="V95" s="183" t="str">
        <f t="shared" si="36"/>
        <v/>
      </c>
      <c r="W95" s="237"/>
    </row>
    <row r="96" spans="2:23" ht="12.95" customHeight="1">
      <c r="B96" s="883"/>
      <c r="C96" s="563"/>
      <c r="D96" s="170"/>
      <c r="E96" s="185"/>
      <c r="F96" s="383"/>
      <c r="G96" s="172"/>
      <c r="H96" s="173"/>
      <c r="I96" s="328" t="str">
        <f t="shared" si="33"/>
        <v/>
      </c>
      <c r="J96" s="479" t="str">
        <f t="shared" si="34"/>
        <v/>
      </c>
      <c r="K96" s="174"/>
      <c r="L96" s="174"/>
      <c r="M96" s="175"/>
      <c r="N96" s="174"/>
      <c r="O96" s="176">
        <f t="shared" si="35"/>
        <v>0</v>
      </c>
      <c r="P96" s="177"/>
      <c r="Q96" s="178"/>
      <c r="R96" s="179"/>
      <c r="S96" s="180"/>
      <c r="T96" s="181" t="str">
        <f t="shared" si="36"/>
        <v/>
      </c>
      <c r="U96" s="182" t="str">
        <f t="shared" si="36"/>
        <v/>
      </c>
      <c r="V96" s="183" t="str">
        <f t="shared" si="36"/>
        <v/>
      </c>
      <c r="W96" s="237"/>
    </row>
    <row r="97" spans="2:23" ht="12.95" customHeight="1">
      <c r="B97" s="883"/>
      <c r="C97" s="563"/>
      <c r="D97" s="170"/>
      <c r="E97" s="185"/>
      <c r="F97" s="383"/>
      <c r="G97" s="172"/>
      <c r="H97" s="173"/>
      <c r="I97" s="328" t="str">
        <f t="shared" si="33"/>
        <v/>
      </c>
      <c r="J97" s="479" t="str">
        <f t="shared" si="34"/>
        <v/>
      </c>
      <c r="K97" s="174"/>
      <c r="L97" s="174"/>
      <c r="M97" s="175"/>
      <c r="N97" s="174"/>
      <c r="O97" s="176">
        <f t="shared" si="35"/>
        <v>0</v>
      </c>
      <c r="P97" s="177"/>
      <c r="Q97" s="178"/>
      <c r="R97" s="179"/>
      <c r="S97" s="180"/>
      <c r="T97" s="181" t="str">
        <f t="shared" si="36"/>
        <v/>
      </c>
      <c r="U97" s="182" t="str">
        <f t="shared" si="36"/>
        <v/>
      </c>
      <c r="V97" s="183" t="str">
        <f t="shared" si="36"/>
        <v/>
      </c>
      <c r="W97" s="237"/>
    </row>
    <row r="98" spans="2:23" ht="12.95" customHeight="1">
      <c r="B98" s="883"/>
      <c r="C98" s="552"/>
      <c r="D98" s="170"/>
      <c r="E98" s="185"/>
      <c r="F98" s="383"/>
      <c r="G98" s="172"/>
      <c r="H98" s="173"/>
      <c r="I98" s="328" t="str">
        <f t="shared" si="33"/>
        <v/>
      </c>
      <c r="J98" s="479" t="str">
        <f t="shared" si="34"/>
        <v/>
      </c>
      <c r="K98" s="174"/>
      <c r="L98" s="174"/>
      <c r="M98" s="175"/>
      <c r="N98" s="174"/>
      <c r="O98" s="176">
        <f t="shared" si="35"/>
        <v>0</v>
      </c>
      <c r="P98" s="177"/>
      <c r="Q98" s="178"/>
      <c r="R98" s="179"/>
      <c r="S98" s="180"/>
      <c r="T98" s="181" t="str">
        <f t="shared" si="36"/>
        <v/>
      </c>
      <c r="U98" s="182" t="str">
        <f t="shared" si="36"/>
        <v/>
      </c>
      <c r="V98" s="183" t="str">
        <f t="shared" si="36"/>
        <v/>
      </c>
      <c r="W98" s="237"/>
    </row>
    <row r="99" spans="2:23" ht="12.95" customHeight="1" thickBot="1">
      <c r="B99" s="883"/>
      <c r="C99" s="553"/>
      <c r="D99" s="221"/>
      <c r="E99" s="236"/>
      <c r="F99" s="384"/>
      <c r="G99" s="223"/>
      <c r="H99" s="224"/>
      <c r="I99" s="329" t="str">
        <f t="shared" si="33"/>
        <v/>
      </c>
      <c r="J99" s="480" t="str">
        <f t="shared" si="34"/>
        <v/>
      </c>
      <c r="K99" s="225"/>
      <c r="L99" s="225"/>
      <c r="M99" s="226"/>
      <c r="N99" s="225"/>
      <c r="O99" s="227">
        <f t="shared" si="35"/>
        <v>0</v>
      </c>
      <c r="P99" s="228"/>
      <c r="Q99" s="229"/>
      <c r="R99" s="230"/>
      <c r="S99" s="231"/>
      <c r="T99" s="232" t="str">
        <f t="shared" si="36"/>
        <v/>
      </c>
      <c r="U99" s="233" t="str">
        <f t="shared" si="36"/>
        <v/>
      </c>
      <c r="V99" s="234" t="str">
        <f t="shared" si="36"/>
        <v/>
      </c>
      <c r="W99" s="235"/>
    </row>
    <row r="100" spans="2:23" ht="12.95" customHeight="1" thickTop="1" thickBot="1">
      <c r="B100" s="884"/>
      <c r="C100" s="565" t="s">
        <v>316</v>
      </c>
      <c r="D100" s="220"/>
      <c r="E100" s="305"/>
      <c r="F100" s="385"/>
      <c r="G100" s="306"/>
      <c r="H100" s="307"/>
      <c r="I100" s="316"/>
      <c r="J100" s="477">
        <f>SUM(J94:J99)</f>
        <v>0</v>
      </c>
      <c r="K100" s="308"/>
      <c r="L100" s="308"/>
      <c r="M100" s="309"/>
      <c r="N100" s="308"/>
      <c r="O100" s="310"/>
      <c r="P100" s="311"/>
      <c r="Q100" s="312"/>
      <c r="R100" s="313"/>
      <c r="S100" s="314"/>
      <c r="T100" s="315"/>
      <c r="U100" s="316"/>
      <c r="V100" s="317"/>
      <c r="W100" s="318"/>
    </row>
    <row r="101" spans="2:23" ht="12.95" customHeight="1">
      <c r="B101" s="885" t="s">
        <v>448</v>
      </c>
      <c r="C101" s="551"/>
      <c r="D101" s="204"/>
      <c r="E101" s="238"/>
      <c r="F101" s="382"/>
      <c r="G101" s="206"/>
      <c r="H101" s="207"/>
      <c r="I101" s="327" t="str">
        <f t="shared" ref="I101:I104" si="37">IF(C101=0,"",D101*1/G101*H101)</f>
        <v/>
      </c>
      <c r="J101" s="478" t="str">
        <f t="shared" ref="J101:J104" si="38">IF(C101=0,"",ROUND(F101*I101,0))</f>
        <v/>
      </c>
      <c r="K101" s="208"/>
      <c r="L101" s="208"/>
      <c r="M101" s="209"/>
      <c r="N101" s="208"/>
      <c r="O101" s="210">
        <f>IF(K101*L101*N101=0,0,(L101*N101)/K101)</f>
        <v>0</v>
      </c>
      <c r="P101" s="211"/>
      <c r="Q101" s="212"/>
      <c r="R101" s="213"/>
      <c r="S101" s="214"/>
      <c r="T101" s="215" t="str">
        <f t="shared" ref="T101:T102" si="39">IF(Q101="","",Q101*$D101)</f>
        <v/>
      </c>
      <c r="U101" s="216" t="str">
        <f t="shared" ref="U101:U102" si="40">IF(R101="","",R101*$D101)</f>
        <v/>
      </c>
      <c r="V101" s="217" t="str">
        <f t="shared" ref="V101:V102" si="41">IF(S101="","",S101*$D101)</f>
        <v/>
      </c>
      <c r="W101" s="218"/>
    </row>
    <row r="102" spans="2:23" ht="12.95" customHeight="1">
      <c r="B102" s="886"/>
      <c r="C102" s="552"/>
      <c r="D102" s="170"/>
      <c r="E102" s="185"/>
      <c r="F102" s="383"/>
      <c r="G102" s="172"/>
      <c r="H102" s="173"/>
      <c r="I102" s="328" t="str">
        <f t="shared" si="37"/>
        <v/>
      </c>
      <c r="J102" s="479" t="str">
        <f t="shared" si="38"/>
        <v/>
      </c>
      <c r="K102" s="174"/>
      <c r="L102" s="174"/>
      <c r="M102" s="175"/>
      <c r="N102" s="174"/>
      <c r="O102" s="176">
        <f>IF(K102*L102*N102=0,0,(L102*N102)/K102)</f>
        <v>0</v>
      </c>
      <c r="P102" s="177"/>
      <c r="Q102" s="178"/>
      <c r="R102" s="179"/>
      <c r="S102" s="180"/>
      <c r="T102" s="181" t="str">
        <f t="shared" si="39"/>
        <v/>
      </c>
      <c r="U102" s="182" t="str">
        <f t="shared" si="40"/>
        <v/>
      </c>
      <c r="V102" s="183" t="str">
        <f t="shared" si="41"/>
        <v/>
      </c>
      <c r="W102" s="237"/>
    </row>
    <row r="103" spans="2:23" ht="12.95" customHeight="1">
      <c r="B103" s="886"/>
      <c r="C103" s="552"/>
      <c r="D103" s="170"/>
      <c r="E103" s="185"/>
      <c r="F103" s="383"/>
      <c r="G103" s="172"/>
      <c r="H103" s="173"/>
      <c r="I103" s="328" t="str">
        <f t="shared" si="37"/>
        <v/>
      </c>
      <c r="J103" s="479" t="str">
        <f t="shared" si="38"/>
        <v/>
      </c>
      <c r="K103" s="174"/>
      <c r="L103" s="174"/>
      <c r="M103" s="175"/>
      <c r="N103" s="174"/>
      <c r="O103" s="176"/>
      <c r="P103" s="177"/>
      <c r="Q103" s="178"/>
      <c r="R103" s="179"/>
      <c r="S103" s="180"/>
      <c r="T103" s="181"/>
      <c r="U103" s="182"/>
      <c r="V103" s="183"/>
      <c r="W103" s="237"/>
    </row>
    <row r="104" spans="2:23" ht="12.95" customHeight="1" thickBot="1">
      <c r="B104" s="886"/>
      <c r="C104" s="553"/>
      <c r="D104" s="221"/>
      <c r="E104" s="236"/>
      <c r="F104" s="384"/>
      <c r="G104" s="223"/>
      <c r="H104" s="224"/>
      <c r="I104" s="329" t="str">
        <f t="shared" si="37"/>
        <v/>
      </c>
      <c r="J104" s="480" t="str">
        <f t="shared" si="38"/>
        <v/>
      </c>
      <c r="K104" s="225"/>
      <c r="L104" s="225"/>
      <c r="M104" s="226"/>
      <c r="N104" s="225"/>
      <c r="O104" s="227">
        <f>IF(K104*L104*N104=0,0,(L104*N104)/K104)</f>
        <v>0</v>
      </c>
      <c r="P104" s="228"/>
      <c r="Q104" s="229"/>
      <c r="R104" s="230"/>
      <c r="S104" s="231"/>
      <c r="T104" s="232" t="str">
        <f>IF(Q104="","",Q104*$D104)</f>
        <v/>
      </c>
      <c r="U104" s="233" t="str">
        <f>IF(R104="","",R104*$D104)</f>
        <v/>
      </c>
      <c r="V104" s="234" t="str">
        <f>IF(S104="","",S104*$D104)</f>
        <v/>
      </c>
      <c r="W104" s="235"/>
    </row>
    <row r="105" spans="2:23" ht="12.95" customHeight="1" thickTop="1" thickBot="1">
      <c r="B105" s="887"/>
      <c r="C105" s="565" t="s">
        <v>316</v>
      </c>
      <c r="D105" s="220"/>
      <c r="E105" s="305"/>
      <c r="F105" s="385"/>
      <c r="G105" s="306"/>
      <c r="H105" s="307"/>
      <c r="I105" s="316"/>
      <c r="J105" s="477">
        <f>SUM(J101:J104)</f>
        <v>0</v>
      </c>
      <c r="K105" s="308"/>
      <c r="L105" s="308"/>
      <c r="M105" s="309"/>
      <c r="N105" s="308"/>
      <c r="O105" s="310"/>
      <c r="P105" s="311"/>
      <c r="Q105" s="312"/>
      <c r="R105" s="313"/>
      <c r="S105" s="314"/>
      <c r="T105" s="315"/>
      <c r="U105" s="316"/>
      <c r="V105" s="317"/>
      <c r="W105" s="318"/>
    </row>
    <row r="106" spans="2:23" ht="12.95" customHeight="1">
      <c r="B106" s="885" t="s">
        <v>450</v>
      </c>
      <c r="C106" s="551"/>
      <c r="D106" s="204"/>
      <c r="E106" s="238"/>
      <c r="F106" s="382"/>
      <c r="G106" s="206"/>
      <c r="H106" s="207"/>
      <c r="I106" s="327" t="str">
        <f t="shared" ref="I106:I110" si="42">IF(C106=0,"",D106*1/G106*H106)</f>
        <v/>
      </c>
      <c r="J106" s="478" t="str">
        <f t="shared" ref="J106:J110" si="43">IF(C106=0,"",ROUND(F106*I106,0))</f>
        <v/>
      </c>
      <c r="K106" s="208"/>
      <c r="L106" s="208"/>
      <c r="M106" s="209"/>
      <c r="N106" s="208"/>
      <c r="O106" s="210">
        <f>IF(K106*L106*N106=0,0,(L106*N106)/K106)</f>
        <v>0</v>
      </c>
      <c r="P106" s="211"/>
      <c r="Q106" s="212"/>
      <c r="R106" s="213"/>
      <c r="S106" s="214"/>
      <c r="T106" s="215" t="str">
        <f t="shared" ref="T106:V108" si="44">IF(Q106="","",Q106*$D106)</f>
        <v/>
      </c>
      <c r="U106" s="216" t="str">
        <f t="shared" si="44"/>
        <v/>
      </c>
      <c r="V106" s="217" t="str">
        <f t="shared" si="44"/>
        <v/>
      </c>
      <c r="W106" s="218"/>
    </row>
    <row r="107" spans="2:23" ht="12.95" customHeight="1">
      <c r="B107" s="886"/>
      <c r="C107" s="552"/>
      <c r="D107" s="170"/>
      <c r="E107" s="185"/>
      <c r="F107" s="383"/>
      <c r="G107" s="172"/>
      <c r="H107" s="173"/>
      <c r="I107" s="328" t="str">
        <f t="shared" si="42"/>
        <v/>
      </c>
      <c r="J107" s="479" t="str">
        <f t="shared" si="43"/>
        <v/>
      </c>
      <c r="K107" s="174"/>
      <c r="L107" s="174"/>
      <c r="M107" s="175"/>
      <c r="N107" s="174"/>
      <c r="O107" s="176">
        <f>IF(K107*L107*N107=0,0,(L107*N107)/K107)</f>
        <v>0</v>
      </c>
      <c r="P107" s="177"/>
      <c r="Q107" s="178"/>
      <c r="R107" s="179"/>
      <c r="S107" s="180"/>
      <c r="T107" s="181" t="str">
        <f t="shared" si="44"/>
        <v/>
      </c>
      <c r="U107" s="182" t="str">
        <f t="shared" si="44"/>
        <v/>
      </c>
      <c r="V107" s="183" t="str">
        <f t="shared" si="44"/>
        <v/>
      </c>
      <c r="W107" s="237"/>
    </row>
    <row r="108" spans="2:23" ht="12.95" customHeight="1">
      <c r="B108" s="886"/>
      <c r="C108" s="552"/>
      <c r="D108" s="170"/>
      <c r="E108" s="185"/>
      <c r="F108" s="383"/>
      <c r="G108" s="172"/>
      <c r="H108" s="173"/>
      <c r="I108" s="328" t="str">
        <f t="shared" si="42"/>
        <v/>
      </c>
      <c r="J108" s="479" t="str">
        <f t="shared" si="43"/>
        <v/>
      </c>
      <c r="K108" s="174"/>
      <c r="L108" s="174"/>
      <c r="M108" s="175"/>
      <c r="N108" s="174"/>
      <c r="O108" s="176">
        <f>IF(K108*L108*N108=0,0,(L108*N108)/K108)</f>
        <v>0</v>
      </c>
      <c r="P108" s="177"/>
      <c r="Q108" s="178"/>
      <c r="R108" s="179"/>
      <c r="S108" s="180"/>
      <c r="T108" s="181" t="str">
        <f t="shared" si="44"/>
        <v/>
      </c>
      <c r="U108" s="182" t="str">
        <f t="shared" si="44"/>
        <v/>
      </c>
      <c r="V108" s="183" t="str">
        <f t="shared" si="44"/>
        <v/>
      </c>
      <c r="W108" s="237"/>
    </row>
    <row r="109" spans="2:23" ht="12.95" customHeight="1">
      <c r="B109" s="886"/>
      <c r="C109" s="552"/>
      <c r="D109" s="170"/>
      <c r="E109" s="185"/>
      <c r="F109" s="383"/>
      <c r="G109" s="172"/>
      <c r="H109" s="173"/>
      <c r="I109" s="328" t="str">
        <f t="shared" si="42"/>
        <v/>
      </c>
      <c r="J109" s="479" t="str">
        <f t="shared" si="43"/>
        <v/>
      </c>
      <c r="K109" s="174"/>
      <c r="L109" s="174"/>
      <c r="M109" s="175"/>
      <c r="N109" s="174"/>
      <c r="O109" s="176"/>
      <c r="P109" s="177"/>
      <c r="Q109" s="178"/>
      <c r="R109" s="179"/>
      <c r="S109" s="180"/>
      <c r="T109" s="181"/>
      <c r="U109" s="182"/>
      <c r="V109" s="183"/>
      <c r="W109" s="237"/>
    </row>
    <row r="110" spans="2:23" ht="12.95" customHeight="1" thickBot="1">
      <c r="B110" s="886"/>
      <c r="C110" s="553"/>
      <c r="D110" s="221"/>
      <c r="E110" s="236"/>
      <c r="F110" s="384"/>
      <c r="G110" s="223"/>
      <c r="H110" s="224"/>
      <c r="I110" s="329" t="str">
        <f t="shared" si="42"/>
        <v/>
      </c>
      <c r="J110" s="480" t="str">
        <f t="shared" si="43"/>
        <v/>
      </c>
      <c r="K110" s="225"/>
      <c r="L110" s="225"/>
      <c r="M110" s="226"/>
      <c r="N110" s="225"/>
      <c r="O110" s="227">
        <f>IF(K110*L110*N110=0,0,(L110*N110)/K110)</f>
        <v>0</v>
      </c>
      <c r="P110" s="228"/>
      <c r="Q110" s="229"/>
      <c r="R110" s="230"/>
      <c r="S110" s="231"/>
      <c r="T110" s="232" t="str">
        <f>IF(Q110="","",Q110*$D110)</f>
        <v/>
      </c>
      <c r="U110" s="233" t="str">
        <f>IF(R110="","",R110*$D110)</f>
        <v/>
      </c>
      <c r="V110" s="234" t="str">
        <f>IF(S110="","",S110*$D110)</f>
        <v/>
      </c>
      <c r="W110" s="235"/>
    </row>
    <row r="111" spans="2:23" ht="12.95" customHeight="1" thickTop="1" thickBot="1">
      <c r="B111" s="887"/>
      <c r="C111" s="565" t="s">
        <v>316</v>
      </c>
      <c r="D111" s="220"/>
      <c r="E111" s="305"/>
      <c r="F111" s="385"/>
      <c r="G111" s="306"/>
      <c r="H111" s="307"/>
      <c r="I111" s="316"/>
      <c r="J111" s="477">
        <f>SUM(J106:J110)</f>
        <v>0</v>
      </c>
      <c r="K111" s="308"/>
      <c r="L111" s="308"/>
      <c r="M111" s="309"/>
      <c r="N111" s="308"/>
      <c r="O111" s="310"/>
      <c r="P111" s="311"/>
      <c r="Q111" s="312"/>
      <c r="R111" s="313"/>
      <c r="S111" s="314"/>
      <c r="T111" s="315"/>
      <c r="U111" s="316"/>
      <c r="V111" s="317"/>
      <c r="W111" s="318"/>
    </row>
    <row r="112" spans="2:23" ht="12.95" customHeight="1">
      <c r="B112" s="885" t="s">
        <v>502</v>
      </c>
      <c r="C112" s="577" t="s">
        <v>503</v>
      </c>
      <c r="D112" s="739">
        <f>作業体系表!AN28</f>
        <v>1066.68</v>
      </c>
      <c r="E112" s="238" t="s">
        <v>128</v>
      </c>
      <c r="F112" s="382">
        <v>962</v>
      </c>
      <c r="G112" s="206">
        <v>1</v>
      </c>
      <c r="H112" s="207">
        <v>1</v>
      </c>
      <c r="I112" s="327">
        <f t="shared" ref="I112:I116" si="45">IF(C112=0,"",D112*1/G112*H112)</f>
        <v>1066.68</v>
      </c>
      <c r="J112" s="478">
        <f t="shared" ref="J112:J116" si="46">IF(C112=0,"",ROUND(F112*I112,0))</f>
        <v>1026146</v>
      </c>
      <c r="K112" s="208"/>
      <c r="L112" s="208"/>
      <c r="M112" s="209"/>
      <c r="N112" s="208"/>
      <c r="O112" s="210">
        <f>IF(K112*L112*N112=0,0,(L112*N112)/K112)</f>
        <v>0</v>
      </c>
      <c r="P112" s="211"/>
      <c r="Q112" s="212"/>
      <c r="R112" s="213"/>
      <c r="S112" s="214"/>
      <c r="T112" s="215" t="str">
        <f t="shared" ref="T112:V114" si="47">IF(Q112="","",Q112*$D112)</f>
        <v/>
      </c>
      <c r="U112" s="216" t="str">
        <f t="shared" si="47"/>
        <v/>
      </c>
      <c r="V112" s="217" t="str">
        <f t="shared" si="47"/>
        <v/>
      </c>
      <c r="W112" s="218" t="s">
        <v>504</v>
      </c>
    </row>
    <row r="113" spans="2:23" ht="12.95" customHeight="1">
      <c r="B113" s="886"/>
      <c r="C113" s="578" t="s">
        <v>505</v>
      </c>
      <c r="D113" s="170">
        <f>作業体系表!AN29</f>
        <v>0</v>
      </c>
      <c r="E113" s="185" t="s">
        <v>128</v>
      </c>
      <c r="F113" s="383">
        <v>753</v>
      </c>
      <c r="G113" s="172">
        <v>1</v>
      </c>
      <c r="H113" s="173">
        <v>1</v>
      </c>
      <c r="I113" s="328">
        <f t="shared" si="45"/>
        <v>0</v>
      </c>
      <c r="J113" s="479">
        <f t="shared" si="46"/>
        <v>0</v>
      </c>
      <c r="K113" s="174"/>
      <c r="L113" s="174"/>
      <c r="M113" s="175"/>
      <c r="N113" s="174"/>
      <c r="O113" s="176">
        <f>IF(K113*L113*N113=0,0,(L113*N113)/K113)</f>
        <v>0</v>
      </c>
      <c r="P113" s="177"/>
      <c r="Q113" s="178"/>
      <c r="R113" s="179"/>
      <c r="S113" s="180"/>
      <c r="T113" s="181" t="str">
        <f t="shared" si="47"/>
        <v/>
      </c>
      <c r="U113" s="182" t="str">
        <f t="shared" si="47"/>
        <v/>
      </c>
      <c r="V113" s="183" t="str">
        <f t="shared" si="47"/>
        <v/>
      </c>
      <c r="W113" s="237" t="s">
        <v>595</v>
      </c>
    </row>
    <row r="114" spans="2:23" ht="12.95" customHeight="1">
      <c r="B114" s="886"/>
      <c r="C114" s="578"/>
      <c r="D114" s="170"/>
      <c r="E114" s="185"/>
      <c r="F114" s="383"/>
      <c r="G114" s="172"/>
      <c r="H114" s="173"/>
      <c r="I114" s="328" t="str">
        <f t="shared" si="45"/>
        <v/>
      </c>
      <c r="J114" s="479" t="str">
        <f t="shared" si="46"/>
        <v/>
      </c>
      <c r="K114" s="174"/>
      <c r="L114" s="174"/>
      <c r="M114" s="175"/>
      <c r="N114" s="174"/>
      <c r="O114" s="176">
        <f>IF(K114*L114*N114=0,0,(L114*N114)/K114)</f>
        <v>0</v>
      </c>
      <c r="P114" s="177"/>
      <c r="Q114" s="178"/>
      <c r="R114" s="179"/>
      <c r="S114" s="180"/>
      <c r="T114" s="181" t="str">
        <f t="shared" si="47"/>
        <v/>
      </c>
      <c r="U114" s="182" t="str">
        <f t="shared" si="47"/>
        <v/>
      </c>
      <c r="V114" s="183" t="str">
        <f t="shared" si="47"/>
        <v/>
      </c>
      <c r="W114" s="237"/>
    </row>
    <row r="115" spans="2:23" ht="12.95" customHeight="1">
      <c r="B115" s="886"/>
      <c r="C115" s="578"/>
      <c r="D115" s="170"/>
      <c r="E115" s="185"/>
      <c r="F115" s="383"/>
      <c r="G115" s="172"/>
      <c r="H115" s="173"/>
      <c r="I115" s="328" t="str">
        <f t="shared" si="45"/>
        <v/>
      </c>
      <c r="J115" s="479" t="str">
        <f t="shared" si="46"/>
        <v/>
      </c>
      <c r="K115" s="174"/>
      <c r="L115" s="174"/>
      <c r="M115" s="175"/>
      <c r="N115" s="174"/>
      <c r="O115" s="176"/>
      <c r="P115" s="177"/>
      <c r="Q115" s="178"/>
      <c r="R115" s="179"/>
      <c r="S115" s="180"/>
      <c r="T115" s="181"/>
      <c r="U115" s="182"/>
      <c r="V115" s="183"/>
      <c r="W115" s="237"/>
    </row>
    <row r="116" spans="2:23" ht="12.95" customHeight="1" thickBot="1">
      <c r="B116" s="886"/>
      <c r="C116" s="579"/>
      <c r="D116" s="221"/>
      <c r="E116" s="236"/>
      <c r="F116" s="384"/>
      <c r="G116" s="223"/>
      <c r="H116" s="224"/>
      <c r="I116" s="329" t="str">
        <f t="shared" si="45"/>
        <v/>
      </c>
      <c r="J116" s="480" t="str">
        <f t="shared" si="46"/>
        <v/>
      </c>
      <c r="K116" s="225"/>
      <c r="L116" s="225"/>
      <c r="M116" s="226"/>
      <c r="N116" s="225"/>
      <c r="O116" s="227">
        <f>IF(K116*L116*N116=0,0,(L116*N116)/K116)</f>
        <v>0</v>
      </c>
      <c r="P116" s="228"/>
      <c r="Q116" s="229"/>
      <c r="R116" s="230"/>
      <c r="S116" s="231"/>
      <c r="T116" s="232" t="str">
        <f>IF(Q116="","",Q116*$D116)</f>
        <v/>
      </c>
      <c r="U116" s="233" t="str">
        <f>IF(R116="","",R116*$D116)</f>
        <v/>
      </c>
      <c r="V116" s="234" t="str">
        <f>IF(S116="","",S116*$D116)</f>
        <v/>
      </c>
      <c r="W116" s="235"/>
    </row>
    <row r="117" spans="2:23" ht="12.95" customHeight="1" thickTop="1" thickBot="1">
      <c r="B117" s="887"/>
      <c r="C117" s="580" t="s">
        <v>316</v>
      </c>
      <c r="D117" s="220"/>
      <c r="E117" s="305"/>
      <c r="F117" s="385"/>
      <c r="G117" s="306"/>
      <c r="H117" s="307"/>
      <c r="I117" s="316"/>
      <c r="J117" s="477">
        <f>SUM(J112:J116)</f>
        <v>1026146</v>
      </c>
      <c r="K117" s="308"/>
      <c r="L117" s="308"/>
      <c r="M117" s="309"/>
      <c r="N117" s="308"/>
      <c r="O117" s="310"/>
      <c r="P117" s="311"/>
      <c r="Q117" s="581"/>
      <c r="R117" s="313"/>
      <c r="S117" s="314"/>
      <c r="T117" s="473"/>
      <c r="U117" s="316"/>
      <c r="V117" s="317"/>
      <c r="W117" s="582"/>
    </row>
    <row r="118" spans="2:23" ht="12.95" customHeight="1">
      <c r="B118" s="882" t="s">
        <v>125</v>
      </c>
      <c r="C118" s="568" t="s">
        <v>308</v>
      </c>
      <c r="D118" s="204">
        <v>15000</v>
      </c>
      <c r="E118" s="205"/>
      <c r="F118" s="382">
        <v>20.9</v>
      </c>
      <c r="G118" s="206">
        <v>1</v>
      </c>
      <c r="H118" s="207">
        <v>1</v>
      </c>
      <c r="I118" s="484">
        <f>IF(D118=0,0,D118*1/G118*H118)</f>
        <v>15000</v>
      </c>
      <c r="J118" s="484">
        <f t="shared" ref="J118:J120" si="48">IF(D118=0,0,ROUND(F118*I118,0))</f>
        <v>313500</v>
      </c>
      <c r="K118" s="208"/>
      <c r="L118" s="208"/>
      <c r="M118" s="209"/>
      <c r="N118" s="208"/>
      <c r="O118" s="210">
        <v>0</v>
      </c>
      <c r="P118" s="211"/>
      <c r="Q118" s="212"/>
      <c r="R118" s="213"/>
      <c r="S118" s="214"/>
      <c r="T118" s="215" t="s">
        <v>314</v>
      </c>
      <c r="U118" s="216" t="s">
        <v>314</v>
      </c>
      <c r="V118" s="217" t="s">
        <v>314</v>
      </c>
      <c r="W118" s="695" t="s">
        <v>583</v>
      </c>
    </row>
    <row r="119" spans="2:23" ht="12.95" customHeight="1">
      <c r="B119" s="883"/>
      <c r="C119" s="569" t="s">
        <v>309</v>
      </c>
      <c r="D119" s="170">
        <v>15000</v>
      </c>
      <c r="E119" s="171"/>
      <c r="F119" s="383">
        <v>12.6</v>
      </c>
      <c r="G119" s="172">
        <v>1</v>
      </c>
      <c r="H119" s="173">
        <v>1</v>
      </c>
      <c r="I119" s="485">
        <f t="shared" ref="I119:I127" si="49">IF(D119=0,0,D119*1/G119*H119)</f>
        <v>15000</v>
      </c>
      <c r="J119" s="485">
        <f t="shared" si="48"/>
        <v>189000</v>
      </c>
      <c r="K119" s="174"/>
      <c r="L119" s="174"/>
      <c r="M119" s="175"/>
      <c r="N119" s="174"/>
      <c r="O119" s="176">
        <v>0</v>
      </c>
      <c r="P119" s="177"/>
      <c r="Q119" s="178"/>
      <c r="R119" s="179"/>
      <c r="S119" s="180"/>
      <c r="T119" s="181" t="s">
        <v>314</v>
      </c>
      <c r="U119" s="182" t="s">
        <v>314</v>
      </c>
      <c r="V119" s="183" t="s">
        <v>314</v>
      </c>
      <c r="W119" s="696" t="s">
        <v>583</v>
      </c>
    </row>
    <row r="120" spans="2:23" ht="12.95" customHeight="1">
      <c r="B120" s="883"/>
      <c r="C120" s="570" t="s">
        <v>158</v>
      </c>
      <c r="D120" s="170">
        <v>15000</v>
      </c>
      <c r="E120" s="184"/>
      <c r="F120" s="383">
        <v>27.3</v>
      </c>
      <c r="G120" s="172">
        <v>1</v>
      </c>
      <c r="H120" s="173">
        <v>1</v>
      </c>
      <c r="I120" s="485">
        <f t="shared" si="49"/>
        <v>15000</v>
      </c>
      <c r="J120" s="485">
        <f t="shared" si="48"/>
        <v>409500</v>
      </c>
      <c r="K120" s="174"/>
      <c r="L120" s="174"/>
      <c r="M120" s="175"/>
      <c r="N120" s="174"/>
      <c r="O120" s="176">
        <v>0</v>
      </c>
      <c r="P120" s="177"/>
      <c r="Q120" s="178"/>
      <c r="R120" s="179"/>
      <c r="S120" s="180"/>
      <c r="T120" s="181" t="s">
        <v>314</v>
      </c>
      <c r="U120" s="182" t="s">
        <v>314</v>
      </c>
      <c r="V120" s="183" t="s">
        <v>314</v>
      </c>
      <c r="W120" s="694" t="s">
        <v>583</v>
      </c>
    </row>
    <row r="121" spans="2:23" ht="12.95" customHeight="1">
      <c r="B121" s="883"/>
      <c r="C121" s="570" t="s">
        <v>310</v>
      </c>
      <c r="D121" s="170">
        <v>4498600</v>
      </c>
      <c r="E121" s="184"/>
      <c r="F121" s="483">
        <v>2.5000000000000001E-2</v>
      </c>
      <c r="G121" s="172">
        <v>1</v>
      </c>
      <c r="H121" s="173">
        <v>1</v>
      </c>
      <c r="I121" s="485">
        <f t="shared" si="49"/>
        <v>4498600</v>
      </c>
      <c r="J121" s="485">
        <f>IF(D121=0,0,F121*I121)</f>
        <v>112465</v>
      </c>
      <c r="K121" s="174"/>
      <c r="L121" s="174"/>
      <c r="M121" s="175"/>
      <c r="N121" s="174"/>
      <c r="O121" s="176">
        <v>0</v>
      </c>
      <c r="P121" s="177"/>
      <c r="Q121" s="178"/>
      <c r="R121" s="179"/>
      <c r="S121" s="180"/>
      <c r="T121" s="181" t="s">
        <v>314</v>
      </c>
      <c r="U121" s="182" t="s">
        <v>314</v>
      </c>
      <c r="V121" s="183" t="s">
        <v>314</v>
      </c>
      <c r="W121" s="547" t="s">
        <v>580</v>
      </c>
    </row>
    <row r="122" spans="2:23" ht="12.95" customHeight="1">
      <c r="B122" s="883"/>
      <c r="C122" s="570" t="s">
        <v>311</v>
      </c>
      <c r="D122" s="170">
        <v>4498600</v>
      </c>
      <c r="E122" s="184"/>
      <c r="F122" s="483">
        <v>0.01</v>
      </c>
      <c r="G122" s="172">
        <v>1</v>
      </c>
      <c r="H122" s="173">
        <v>1</v>
      </c>
      <c r="I122" s="485">
        <f t="shared" si="49"/>
        <v>4498600</v>
      </c>
      <c r="J122" s="485">
        <f>IF(D122=0,0,ROUND(F122*I122,0))</f>
        <v>44986</v>
      </c>
      <c r="K122" s="174"/>
      <c r="L122" s="174"/>
      <c r="M122" s="175"/>
      <c r="N122" s="174"/>
      <c r="O122" s="176">
        <v>0</v>
      </c>
      <c r="P122" s="177"/>
      <c r="Q122" s="178"/>
      <c r="R122" s="179"/>
      <c r="S122" s="180"/>
      <c r="T122" s="181" t="s">
        <v>314</v>
      </c>
      <c r="U122" s="182" t="s">
        <v>314</v>
      </c>
      <c r="V122" s="183" t="s">
        <v>314</v>
      </c>
      <c r="W122" s="547" t="s">
        <v>581</v>
      </c>
    </row>
    <row r="123" spans="2:23" ht="12.95" customHeight="1">
      <c r="B123" s="883"/>
      <c r="C123" s="570" t="s">
        <v>312</v>
      </c>
      <c r="D123" s="170">
        <v>4498600</v>
      </c>
      <c r="E123" s="184"/>
      <c r="F123" s="483">
        <v>8.5000000000000006E-2</v>
      </c>
      <c r="G123" s="172">
        <v>1</v>
      </c>
      <c r="H123" s="173">
        <v>1</v>
      </c>
      <c r="I123" s="485">
        <f t="shared" si="49"/>
        <v>4498600</v>
      </c>
      <c r="J123" s="485">
        <f>IF(D123=0,0,ROUND(F123*I123,0))</f>
        <v>382381</v>
      </c>
      <c r="K123" s="174"/>
      <c r="L123" s="174"/>
      <c r="M123" s="175"/>
      <c r="N123" s="174"/>
      <c r="O123" s="176">
        <v>0</v>
      </c>
      <c r="P123" s="177"/>
      <c r="Q123" s="178"/>
      <c r="R123" s="179"/>
      <c r="S123" s="180"/>
      <c r="T123" s="181" t="s">
        <v>314</v>
      </c>
      <c r="U123" s="182" t="s">
        <v>314</v>
      </c>
      <c r="V123" s="183" t="s">
        <v>314</v>
      </c>
      <c r="W123" s="547" t="s">
        <v>582</v>
      </c>
    </row>
    <row r="124" spans="2:23" ht="12.95" customHeight="1">
      <c r="B124" s="883"/>
      <c r="C124" s="562"/>
      <c r="D124" s="170"/>
      <c r="E124" s="171"/>
      <c r="F124" s="383"/>
      <c r="G124" s="172"/>
      <c r="H124" s="173"/>
      <c r="I124" s="485">
        <f t="shared" si="49"/>
        <v>0</v>
      </c>
      <c r="J124" s="485" t="str">
        <f t="shared" ref="J124:J127" si="50">IF(D124=0,"",ROUND(F124*I124,0))</f>
        <v/>
      </c>
      <c r="K124" s="174"/>
      <c r="L124" s="174"/>
      <c r="M124" s="175"/>
      <c r="N124" s="174"/>
      <c r="O124" s="176">
        <f t="shared" si="32"/>
        <v>0</v>
      </c>
      <c r="P124" s="177"/>
      <c r="Q124" s="178"/>
      <c r="R124" s="179"/>
      <c r="S124" s="180"/>
      <c r="T124" s="181" t="str">
        <f t="shared" ref="T124:V127" si="51">IF(Q124="","",Q124*$D124)</f>
        <v/>
      </c>
      <c r="U124" s="182" t="str">
        <f t="shared" si="51"/>
        <v/>
      </c>
      <c r="V124" s="183" t="str">
        <f t="shared" si="51"/>
        <v/>
      </c>
      <c r="W124" s="546"/>
    </row>
    <row r="125" spans="2:23" ht="12.95" customHeight="1">
      <c r="B125" s="883"/>
      <c r="C125" s="562"/>
      <c r="D125" s="170"/>
      <c r="E125" s="184"/>
      <c r="F125" s="383"/>
      <c r="G125" s="172"/>
      <c r="H125" s="173"/>
      <c r="I125" s="485">
        <f t="shared" si="49"/>
        <v>0</v>
      </c>
      <c r="J125" s="485" t="str">
        <f t="shared" si="50"/>
        <v/>
      </c>
      <c r="K125" s="174"/>
      <c r="L125" s="174"/>
      <c r="M125" s="175"/>
      <c r="N125" s="174"/>
      <c r="O125" s="176">
        <f t="shared" si="32"/>
        <v>0</v>
      </c>
      <c r="P125" s="177"/>
      <c r="Q125" s="178"/>
      <c r="R125" s="179"/>
      <c r="S125" s="180"/>
      <c r="T125" s="181" t="str">
        <f t="shared" si="51"/>
        <v/>
      </c>
      <c r="U125" s="182" t="str">
        <f t="shared" si="51"/>
        <v/>
      </c>
      <c r="V125" s="183" t="str">
        <f t="shared" si="51"/>
        <v/>
      </c>
      <c r="W125" s="546"/>
    </row>
    <row r="126" spans="2:23" ht="12.95" customHeight="1">
      <c r="B126" s="883"/>
      <c r="C126" s="562"/>
      <c r="D126" s="170"/>
      <c r="E126" s="184"/>
      <c r="F126" s="383"/>
      <c r="G126" s="172"/>
      <c r="H126" s="173"/>
      <c r="I126" s="485">
        <f t="shared" si="49"/>
        <v>0</v>
      </c>
      <c r="J126" s="485" t="str">
        <f t="shared" si="50"/>
        <v/>
      </c>
      <c r="K126" s="174"/>
      <c r="L126" s="174"/>
      <c r="M126" s="175"/>
      <c r="N126" s="174"/>
      <c r="O126" s="176">
        <f t="shared" si="32"/>
        <v>0</v>
      </c>
      <c r="P126" s="177"/>
      <c r="Q126" s="178"/>
      <c r="R126" s="179"/>
      <c r="S126" s="180"/>
      <c r="T126" s="181" t="str">
        <f t="shared" si="51"/>
        <v/>
      </c>
      <c r="U126" s="182" t="str">
        <f t="shared" si="51"/>
        <v/>
      </c>
      <c r="V126" s="183" t="str">
        <f t="shared" si="51"/>
        <v/>
      </c>
      <c r="W126" s="546"/>
    </row>
    <row r="127" spans="2:23" ht="12.95" customHeight="1" thickBot="1">
      <c r="B127" s="883"/>
      <c r="C127" s="571"/>
      <c r="D127" s="221"/>
      <c r="E127" s="242"/>
      <c r="F127" s="384"/>
      <c r="G127" s="223"/>
      <c r="H127" s="224"/>
      <c r="I127" s="486">
        <f t="shared" si="49"/>
        <v>0</v>
      </c>
      <c r="J127" s="486" t="str">
        <f t="shared" si="50"/>
        <v/>
      </c>
      <c r="K127" s="225"/>
      <c r="L127" s="225"/>
      <c r="M127" s="226"/>
      <c r="N127" s="225"/>
      <c r="O127" s="227">
        <f t="shared" si="32"/>
        <v>0</v>
      </c>
      <c r="P127" s="228"/>
      <c r="Q127" s="229"/>
      <c r="R127" s="230"/>
      <c r="S127" s="231"/>
      <c r="T127" s="232" t="str">
        <f t="shared" si="51"/>
        <v/>
      </c>
      <c r="U127" s="233" t="str">
        <f t="shared" si="51"/>
        <v/>
      </c>
      <c r="V127" s="234" t="str">
        <f t="shared" si="51"/>
        <v/>
      </c>
      <c r="W127" s="548"/>
    </row>
    <row r="128" spans="2:23" ht="12.95" customHeight="1" thickTop="1" thickBot="1">
      <c r="B128" s="884"/>
      <c r="C128" s="565" t="s">
        <v>316</v>
      </c>
      <c r="D128" s="220"/>
      <c r="E128" s="305"/>
      <c r="F128" s="385"/>
      <c r="G128" s="306"/>
      <c r="H128" s="307"/>
      <c r="I128" s="316"/>
      <c r="J128" s="477">
        <f>SUM(J118:J127)</f>
        <v>1451832</v>
      </c>
      <c r="K128" s="308"/>
      <c r="L128" s="308"/>
      <c r="M128" s="309"/>
      <c r="N128" s="308"/>
      <c r="O128" s="310"/>
      <c r="P128" s="311"/>
      <c r="Q128" s="312"/>
      <c r="R128" s="313"/>
      <c r="S128" s="314"/>
      <c r="T128" s="315"/>
      <c r="U128" s="316"/>
      <c r="V128" s="317"/>
      <c r="W128" s="318"/>
    </row>
    <row r="129" spans="2:23" ht="12.95" customHeight="1">
      <c r="B129" s="895" t="s">
        <v>449</v>
      </c>
      <c r="C129" s="551"/>
      <c r="D129" s="204"/>
      <c r="E129" s="238"/>
      <c r="F129" s="382"/>
      <c r="G129" s="206"/>
      <c r="H129" s="207"/>
      <c r="I129" s="327" t="str">
        <f t="shared" ref="I129:I132" si="52">IF(C129=0,"",D129*1/G129*H129)</f>
        <v/>
      </c>
      <c r="J129" s="478" t="str">
        <f t="shared" ref="J129:J132" si="53">IF(C129=0,"",ROUND(F129*I129,0))</f>
        <v/>
      </c>
      <c r="K129" s="208"/>
      <c r="L129" s="208"/>
      <c r="M129" s="209"/>
      <c r="N129" s="208"/>
      <c r="O129" s="210">
        <f>IF(K129*L129*N129=0,0,(L129*N129)/K129)</f>
        <v>0</v>
      </c>
      <c r="P129" s="211"/>
      <c r="Q129" s="212"/>
      <c r="R129" s="213"/>
      <c r="S129" s="214"/>
      <c r="T129" s="215" t="str">
        <f t="shared" ref="T129:T130" si="54">IF(Q129="","",Q129*$D129)</f>
        <v/>
      </c>
      <c r="U129" s="216" t="str">
        <f t="shared" ref="U129:U130" si="55">IF(R129="","",R129*$D129)</f>
        <v/>
      </c>
      <c r="V129" s="217" t="str">
        <f t="shared" ref="V129:V130" si="56">IF(S129="","",S129*$D129)</f>
        <v/>
      </c>
      <c r="W129" s="218"/>
    </row>
    <row r="130" spans="2:23" ht="12.95" customHeight="1">
      <c r="B130" s="883"/>
      <c r="C130" s="552"/>
      <c r="D130" s="170"/>
      <c r="E130" s="185"/>
      <c r="F130" s="383"/>
      <c r="G130" s="172"/>
      <c r="H130" s="173"/>
      <c r="I130" s="328" t="str">
        <f t="shared" si="52"/>
        <v/>
      </c>
      <c r="J130" s="479" t="str">
        <f t="shared" si="53"/>
        <v/>
      </c>
      <c r="K130" s="174"/>
      <c r="L130" s="174"/>
      <c r="M130" s="175"/>
      <c r="N130" s="174"/>
      <c r="O130" s="176">
        <f>IF(K130*L130*N130=0,0,(L130*N130)/K130)</f>
        <v>0</v>
      </c>
      <c r="P130" s="177"/>
      <c r="Q130" s="178"/>
      <c r="R130" s="179"/>
      <c r="S130" s="180"/>
      <c r="T130" s="181" t="str">
        <f t="shared" si="54"/>
        <v/>
      </c>
      <c r="U130" s="182" t="str">
        <f t="shared" si="55"/>
        <v/>
      </c>
      <c r="V130" s="183" t="str">
        <f t="shared" si="56"/>
        <v/>
      </c>
      <c r="W130" s="237"/>
    </row>
    <row r="131" spans="2:23" ht="12.95" customHeight="1">
      <c r="B131" s="883"/>
      <c r="C131" s="552"/>
      <c r="D131" s="170"/>
      <c r="E131" s="185"/>
      <c r="F131" s="383"/>
      <c r="G131" s="172"/>
      <c r="H131" s="173"/>
      <c r="I131" s="328" t="str">
        <f t="shared" si="52"/>
        <v/>
      </c>
      <c r="J131" s="479" t="str">
        <f t="shared" si="53"/>
        <v/>
      </c>
      <c r="K131" s="174"/>
      <c r="L131" s="174"/>
      <c r="M131" s="175"/>
      <c r="N131" s="174"/>
      <c r="O131" s="176"/>
      <c r="P131" s="177"/>
      <c r="Q131" s="178"/>
      <c r="R131" s="179"/>
      <c r="S131" s="180"/>
      <c r="T131" s="181"/>
      <c r="U131" s="182"/>
      <c r="V131" s="183"/>
      <c r="W131" s="237"/>
    </row>
    <row r="132" spans="2:23" ht="12.95" customHeight="1" thickBot="1">
      <c r="B132" s="883"/>
      <c r="C132" s="553"/>
      <c r="D132" s="221"/>
      <c r="E132" s="236"/>
      <c r="F132" s="384"/>
      <c r="G132" s="223"/>
      <c r="H132" s="224"/>
      <c r="I132" s="329" t="str">
        <f t="shared" si="52"/>
        <v/>
      </c>
      <c r="J132" s="480" t="str">
        <f t="shared" si="53"/>
        <v/>
      </c>
      <c r="K132" s="225"/>
      <c r="L132" s="225"/>
      <c r="M132" s="226"/>
      <c r="N132" s="225"/>
      <c r="O132" s="227">
        <f>IF(K132*L132*N132=0,0,(L132*N132)/K132)</f>
        <v>0</v>
      </c>
      <c r="P132" s="228"/>
      <c r="Q132" s="229"/>
      <c r="R132" s="230"/>
      <c r="S132" s="231"/>
      <c r="T132" s="232" t="str">
        <f>IF(Q132="","",Q132*$D132)</f>
        <v/>
      </c>
      <c r="U132" s="233" t="str">
        <f>IF(R132="","",R132*$D132)</f>
        <v/>
      </c>
      <c r="V132" s="234" t="str">
        <f>IF(S132="","",S132*$D132)</f>
        <v/>
      </c>
      <c r="W132" s="235"/>
    </row>
    <row r="133" spans="2:23" ht="12.95" customHeight="1" thickTop="1" thickBot="1">
      <c r="B133" s="884"/>
      <c r="C133" s="565" t="s">
        <v>316</v>
      </c>
      <c r="D133" s="220"/>
      <c r="E133" s="305"/>
      <c r="F133" s="385"/>
      <c r="G133" s="306"/>
      <c r="H133" s="307"/>
      <c r="I133" s="316"/>
      <c r="J133" s="477">
        <f>SUM(J129:J132)</f>
        <v>0</v>
      </c>
      <c r="K133" s="308"/>
      <c r="L133" s="308"/>
      <c r="M133" s="309"/>
      <c r="N133" s="308"/>
      <c r="O133" s="310"/>
      <c r="P133" s="311"/>
      <c r="Q133" s="312"/>
      <c r="R133" s="313"/>
      <c r="S133" s="314"/>
      <c r="T133" s="315"/>
      <c r="U133" s="316"/>
      <c r="V133" s="317"/>
      <c r="W133" s="318"/>
    </row>
    <row r="134" spans="2:23" ht="12.95" customHeight="1">
      <c r="B134" s="885" t="s">
        <v>452</v>
      </c>
      <c r="C134" s="551" t="s">
        <v>522</v>
      </c>
      <c r="D134" s="204">
        <v>1</v>
      </c>
      <c r="E134" s="238"/>
      <c r="F134" s="382">
        <v>25000</v>
      </c>
      <c r="G134" s="206">
        <v>1</v>
      </c>
      <c r="H134" s="207">
        <v>1</v>
      </c>
      <c r="I134" s="327">
        <f t="shared" ref="I134:I137" si="57">IF(C134=0,"",D134*1/G134*H134)</f>
        <v>1</v>
      </c>
      <c r="J134" s="478">
        <f t="shared" ref="J134:J137" si="58">IF(C134=0,"",ROUND(F134*I134,0))</f>
        <v>25000</v>
      </c>
      <c r="K134" s="208"/>
      <c r="L134" s="208"/>
      <c r="M134" s="209"/>
      <c r="N134" s="208"/>
      <c r="O134" s="210">
        <f>IF(K134*L134*N134=0,0,(L134*N134)/K134)</f>
        <v>0</v>
      </c>
      <c r="P134" s="211"/>
      <c r="Q134" s="212"/>
      <c r="R134" s="213"/>
      <c r="S134" s="214"/>
      <c r="T134" s="215" t="str">
        <f t="shared" ref="T134:T135" si="59">IF(Q134="","",Q134*$D134)</f>
        <v/>
      </c>
      <c r="U134" s="216" t="str">
        <f t="shared" ref="U134:U135" si="60">IF(R134="","",R134*$D134)</f>
        <v/>
      </c>
      <c r="V134" s="217" t="str">
        <f t="shared" ref="V134:V135" si="61">IF(S134="","",S134*$D134)</f>
        <v/>
      </c>
      <c r="W134" s="218" t="s">
        <v>525</v>
      </c>
    </row>
    <row r="135" spans="2:23" ht="12.95" customHeight="1">
      <c r="B135" s="886"/>
      <c r="C135" s="552" t="s">
        <v>523</v>
      </c>
      <c r="D135" s="170">
        <v>1</v>
      </c>
      <c r="E135" s="185"/>
      <c r="F135" s="383">
        <v>10000</v>
      </c>
      <c r="G135" s="172">
        <v>1</v>
      </c>
      <c r="H135" s="173">
        <v>1</v>
      </c>
      <c r="I135" s="328">
        <f t="shared" si="57"/>
        <v>1</v>
      </c>
      <c r="J135" s="479">
        <f t="shared" si="58"/>
        <v>10000</v>
      </c>
      <c r="K135" s="174"/>
      <c r="L135" s="174"/>
      <c r="M135" s="175"/>
      <c r="N135" s="174"/>
      <c r="O135" s="176">
        <f>IF(K135*L135*N135=0,0,(L135*N135)/K135)</f>
        <v>0</v>
      </c>
      <c r="P135" s="177"/>
      <c r="Q135" s="178"/>
      <c r="R135" s="179"/>
      <c r="S135" s="180"/>
      <c r="T135" s="181" t="str">
        <f t="shared" si="59"/>
        <v/>
      </c>
      <c r="U135" s="182" t="str">
        <f t="shared" si="60"/>
        <v/>
      </c>
      <c r="V135" s="183" t="str">
        <f t="shared" si="61"/>
        <v/>
      </c>
      <c r="W135" s="237" t="s">
        <v>512</v>
      </c>
    </row>
    <row r="136" spans="2:23" ht="12.95" customHeight="1">
      <c r="B136" s="886"/>
      <c r="C136" s="552"/>
      <c r="D136" s="170"/>
      <c r="E136" s="185"/>
      <c r="F136" s="383"/>
      <c r="G136" s="172"/>
      <c r="H136" s="173"/>
      <c r="I136" s="328" t="str">
        <f t="shared" si="57"/>
        <v/>
      </c>
      <c r="J136" s="479" t="str">
        <f t="shared" si="58"/>
        <v/>
      </c>
      <c r="K136" s="174"/>
      <c r="L136" s="174"/>
      <c r="M136" s="175"/>
      <c r="N136" s="174"/>
      <c r="O136" s="176"/>
      <c r="P136" s="177"/>
      <c r="Q136" s="178"/>
      <c r="R136" s="179"/>
      <c r="S136" s="180"/>
      <c r="T136" s="181"/>
      <c r="U136" s="182"/>
      <c r="V136" s="183"/>
      <c r="W136" s="237"/>
    </row>
    <row r="137" spans="2:23" ht="12.95" customHeight="1" thickBot="1">
      <c r="B137" s="886"/>
      <c r="C137" s="553"/>
      <c r="D137" s="221"/>
      <c r="E137" s="236"/>
      <c r="F137" s="384"/>
      <c r="G137" s="223"/>
      <c r="H137" s="224"/>
      <c r="I137" s="329" t="str">
        <f t="shared" si="57"/>
        <v/>
      </c>
      <c r="J137" s="480" t="str">
        <f t="shared" si="58"/>
        <v/>
      </c>
      <c r="K137" s="225"/>
      <c r="L137" s="225"/>
      <c r="M137" s="226"/>
      <c r="N137" s="225"/>
      <c r="O137" s="227">
        <f>IF(K137*L137*N137=0,0,(L137*N137)/K137)</f>
        <v>0</v>
      </c>
      <c r="P137" s="228"/>
      <c r="Q137" s="229"/>
      <c r="R137" s="230"/>
      <c r="S137" s="231"/>
      <c r="T137" s="232" t="str">
        <f>IF(Q137="","",Q137*$D137)</f>
        <v/>
      </c>
      <c r="U137" s="233" t="str">
        <f>IF(R137="","",R137*$D137)</f>
        <v/>
      </c>
      <c r="V137" s="234" t="str">
        <f>IF(S137="","",S137*$D137)</f>
        <v/>
      </c>
      <c r="W137" s="235"/>
    </row>
    <row r="138" spans="2:23" ht="12.95" customHeight="1" thickTop="1" thickBot="1">
      <c r="B138" s="887"/>
      <c r="C138" s="565" t="s">
        <v>316</v>
      </c>
      <c r="D138" s="220"/>
      <c r="E138" s="305"/>
      <c r="F138" s="385"/>
      <c r="G138" s="306"/>
      <c r="H138" s="307"/>
      <c r="I138" s="316"/>
      <c r="J138" s="477">
        <f>SUM(J134:J137)</f>
        <v>35000</v>
      </c>
      <c r="K138" s="308"/>
      <c r="L138" s="308"/>
      <c r="M138" s="309"/>
      <c r="N138" s="308"/>
      <c r="O138" s="310"/>
      <c r="P138" s="311"/>
      <c r="Q138" s="312"/>
      <c r="R138" s="313"/>
      <c r="S138" s="314"/>
      <c r="T138" s="315"/>
      <c r="U138" s="316"/>
      <c r="V138" s="317"/>
      <c r="W138" s="318"/>
    </row>
    <row r="139" spans="2:23" ht="12.95" customHeight="1">
      <c r="B139" s="885" t="s">
        <v>454</v>
      </c>
      <c r="C139" s="551"/>
      <c r="D139" s="204"/>
      <c r="E139" s="238"/>
      <c r="F139" s="382"/>
      <c r="G139" s="206"/>
      <c r="H139" s="207"/>
      <c r="I139" s="327" t="str">
        <f t="shared" ref="I139:I142" si="62">IF(C139=0,"",D139*1/G139*H139)</f>
        <v/>
      </c>
      <c r="J139" s="478" t="str">
        <f t="shared" ref="J139:J142" si="63">IF(C139=0,"",ROUND(F139*I139,0))</f>
        <v/>
      </c>
      <c r="K139" s="208"/>
      <c r="L139" s="208"/>
      <c r="M139" s="209"/>
      <c r="N139" s="208"/>
      <c r="O139" s="210">
        <f>IF(K139*L139*N139=0,0,(L139*N139)/K139)</f>
        <v>0</v>
      </c>
      <c r="P139" s="211"/>
      <c r="Q139" s="212"/>
      <c r="R139" s="213"/>
      <c r="S139" s="214"/>
      <c r="T139" s="215" t="str">
        <f t="shared" ref="T139:T140" si="64">IF(Q139="","",Q139*$D139)</f>
        <v/>
      </c>
      <c r="U139" s="216" t="str">
        <f t="shared" ref="U139:U140" si="65">IF(R139="","",R139*$D139)</f>
        <v/>
      </c>
      <c r="V139" s="217" t="str">
        <f t="shared" ref="V139:V140" si="66">IF(S139="","",S139*$D139)</f>
        <v/>
      </c>
      <c r="W139" s="218"/>
    </row>
    <row r="140" spans="2:23" ht="12.95" customHeight="1">
      <c r="B140" s="886"/>
      <c r="C140" s="552"/>
      <c r="D140" s="170"/>
      <c r="E140" s="185"/>
      <c r="F140" s="383"/>
      <c r="G140" s="172"/>
      <c r="H140" s="173"/>
      <c r="I140" s="328" t="str">
        <f t="shared" si="62"/>
        <v/>
      </c>
      <c r="J140" s="479" t="str">
        <f t="shared" si="63"/>
        <v/>
      </c>
      <c r="K140" s="174"/>
      <c r="L140" s="174"/>
      <c r="M140" s="175"/>
      <c r="N140" s="174"/>
      <c r="O140" s="176">
        <f>IF(K140*L140*N140=0,0,(L140*N140)/K140)</f>
        <v>0</v>
      </c>
      <c r="P140" s="177"/>
      <c r="Q140" s="178"/>
      <c r="R140" s="179"/>
      <c r="S140" s="180"/>
      <c r="T140" s="181" t="str">
        <f t="shared" si="64"/>
        <v/>
      </c>
      <c r="U140" s="182" t="str">
        <f t="shared" si="65"/>
        <v/>
      </c>
      <c r="V140" s="183" t="str">
        <f t="shared" si="66"/>
        <v/>
      </c>
      <c r="W140" s="237"/>
    </row>
    <row r="141" spans="2:23" ht="12.95" customHeight="1">
      <c r="B141" s="886"/>
      <c r="C141" s="552"/>
      <c r="D141" s="170"/>
      <c r="E141" s="185"/>
      <c r="F141" s="383"/>
      <c r="G141" s="172"/>
      <c r="H141" s="173"/>
      <c r="I141" s="328" t="str">
        <f t="shared" si="62"/>
        <v/>
      </c>
      <c r="J141" s="479" t="str">
        <f t="shared" si="63"/>
        <v/>
      </c>
      <c r="K141" s="174"/>
      <c r="L141" s="174"/>
      <c r="M141" s="175"/>
      <c r="N141" s="174"/>
      <c r="O141" s="176"/>
      <c r="P141" s="177"/>
      <c r="Q141" s="178"/>
      <c r="R141" s="179"/>
      <c r="S141" s="180"/>
      <c r="T141" s="181"/>
      <c r="U141" s="182"/>
      <c r="V141" s="183"/>
      <c r="W141" s="237"/>
    </row>
    <row r="142" spans="2:23" ht="12.95" customHeight="1" thickBot="1">
      <c r="B142" s="886"/>
      <c r="C142" s="553"/>
      <c r="D142" s="221"/>
      <c r="E142" s="236"/>
      <c r="F142" s="384"/>
      <c r="G142" s="223"/>
      <c r="H142" s="224"/>
      <c r="I142" s="329" t="str">
        <f t="shared" si="62"/>
        <v/>
      </c>
      <c r="J142" s="480" t="str">
        <f t="shared" si="63"/>
        <v/>
      </c>
      <c r="K142" s="225"/>
      <c r="L142" s="225"/>
      <c r="M142" s="226"/>
      <c r="N142" s="225"/>
      <c r="O142" s="227">
        <f>IF(K142*L142*N142=0,0,(L142*N142)/K142)</f>
        <v>0</v>
      </c>
      <c r="P142" s="228"/>
      <c r="Q142" s="229"/>
      <c r="R142" s="230"/>
      <c r="S142" s="231"/>
      <c r="T142" s="232" t="str">
        <f>IF(Q142="","",Q142*$D142)</f>
        <v/>
      </c>
      <c r="U142" s="233" t="str">
        <f>IF(R142="","",R142*$D142)</f>
        <v/>
      </c>
      <c r="V142" s="234" t="str">
        <f>IF(S142="","",S142*$D142)</f>
        <v/>
      </c>
      <c r="W142" s="235"/>
    </row>
    <row r="143" spans="2:23" ht="12.95" customHeight="1" thickTop="1" thickBot="1">
      <c r="B143" s="887"/>
      <c r="C143" s="565" t="s">
        <v>316</v>
      </c>
      <c r="D143" s="220"/>
      <c r="E143" s="305"/>
      <c r="F143" s="385"/>
      <c r="G143" s="306"/>
      <c r="H143" s="307"/>
      <c r="I143" s="316"/>
      <c r="J143" s="477">
        <f>SUM(J139:J142)</f>
        <v>0</v>
      </c>
      <c r="K143" s="308"/>
      <c r="L143" s="308"/>
      <c r="M143" s="309"/>
      <c r="N143" s="308"/>
      <c r="O143" s="310"/>
      <c r="P143" s="311"/>
      <c r="Q143" s="312"/>
      <c r="R143" s="313"/>
      <c r="S143" s="314"/>
      <c r="T143" s="315"/>
      <c r="U143" s="316"/>
      <c r="V143" s="317"/>
      <c r="W143" s="318"/>
    </row>
    <row r="144" spans="2:23" ht="12.95" customHeight="1">
      <c r="B144" s="885" t="s">
        <v>456</v>
      </c>
      <c r="C144" s="551" t="s">
        <v>521</v>
      </c>
      <c r="D144" s="204">
        <v>1</v>
      </c>
      <c r="E144" s="238"/>
      <c r="F144" s="382">
        <v>6000</v>
      </c>
      <c r="G144" s="206">
        <v>1</v>
      </c>
      <c r="H144" s="207">
        <v>0.1</v>
      </c>
      <c r="I144" s="327">
        <f t="shared" ref="I144:I147" si="67">IF(C144=0,"",D144*1/G144*H144)</f>
        <v>0.1</v>
      </c>
      <c r="J144" s="478">
        <f t="shared" ref="J144:J147" si="68">IF(C144=0,"",ROUND(F144*I144,0))</f>
        <v>600</v>
      </c>
      <c r="K144" s="208"/>
      <c r="L144" s="208"/>
      <c r="M144" s="209"/>
      <c r="N144" s="208"/>
      <c r="O144" s="210">
        <f>IF(K144*L144*N144=0,0,(L144*N144)/K144)</f>
        <v>0</v>
      </c>
      <c r="P144" s="211"/>
      <c r="Q144" s="212"/>
      <c r="R144" s="213"/>
      <c r="S144" s="214"/>
      <c r="T144" s="215" t="str">
        <f t="shared" ref="T144:T145" si="69">IF(Q144="","",Q144*$D144)</f>
        <v/>
      </c>
      <c r="U144" s="216" t="str">
        <f t="shared" ref="U144:U145" si="70">IF(R144="","",R144*$D144)</f>
        <v/>
      </c>
      <c r="V144" s="217" t="str">
        <f t="shared" ref="V144:V145" si="71">IF(S144="","",S144*$D144)</f>
        <v/>
      </c>
      <c r="W144" s="218"/>
    </row>
    <row r="145" spans="2:23" ht="12.95" customHeight="1">
      <c r="B145" s="886"/>
      <c r="C145" s="578" t="s">
        <v>519</v>
      </c>
      <c r="D145" s="170">
        <v>1</v>
      </c>
      <c r="E145" s="185"/>
      <c r="F145" s="383">
        <v>2000</v>
      </c>
      <c r="G145" s="172">
        <v>1</v>
      </c>
      <c r="H145" s="173">
        <v>1</v>
      </c>
      <c r="I145" s="328">
        <f>IF(C145=0,"",D145*1/G145*H145)</f>
        <v>1</v>
      </c>
      <c r="J145" s="479">
        <f>IF(C145=0,"",ROUND(F145*I145,0))</f>
        <v>2000</v>
      </c>
      <c r="K145" s="174"/>
      <c r="L145" s="174"/>
      <c r="M145" s="175"/>
      <c r="N145" s="174"/>
      <c r="O145" s="176">
        <f>IF(K145*L145*N145=0,0,(L145*N145)/K145)</f>
        <v>0</v>
      </c>
      <c r="P145" s="177"/>
      <c r="Q145" s="178"/>
      <c r="R145" s="179"/>
      <c r="S145" s="180"/>
      <c r="T145" s="181" t="str">
        <f t="shared" si="69"/>
        <v/>
      </c>
      <c r="U145" s="182" t="str">
        <f t="shared" si="70"/>
        <v/>
      </c>
      <c r="V145" s="183" t="str">
        <f t="shared" si="71"/>
        <v/>
      </c>
      <c r="W145" s="237" t="s">
        <v>520</v>
      </c>
    </row>
    <row r="146" spans="2:23" ht="12.95" customHeight="1">
      <c r="B146" s="886"/>
      <c r="C146" s="552"/>
      <c r="D146" s="170"/>
      <c r="E146" s="185"/>
      <c r="F146" s="383"/>
      <c r="G146" s="172"/>
      <c r="H146" s="173"/>
      <c r="I146" s="328" t="str">
        <f t="shared" si="67"/>
        <v/>
      </c>
      <c r="J146" s="479" t="str">
        <f t="shared" si="68"/>
        <v/>
      </c>
      <c r="K146" s="174"/>
      <c r="L146" s="174"/>
      <c r="M146" s="175"/>
      <c r="N146" s="174"/>
      <c r="O146" s="176"/>
      <c r="P146" s="177"/>
      <c r="Q146" s="178"/>
      <c r="R146" s="179"/>
      <c r="S146" s="180"/>
      <c r="T146" s="181"/>
      <c r="U146" s="182"/>
      <c r="V146" s="183"/>
      <c r="W146" s="237"/>
    </row>
    <row r="147" spans="2:23" ht="12.95" customHeight="1" thickBot="1">
      <c r="B147" s="886"/>
      <c r="C147" s="553"/>
      <c r="D147" s="221"/>
      <c r="E147" s="236"/>
      <c r="F147" s="384"/>
      <c r="G147" s="223"/>
      <c r="H147" s="224"/>
      <c r="I147" s="329" t="str">
        <f t="shared" si="67"/>
        <v/>
      </c>
      <c r="J147" s="480" t="str">
        <f t="shared" si="68"/>
        <v/>
      </c>
      <c r="K147" s="225"/>
      <c r="L147" s="225"/>
      <c r="M147" s="226"/>
      <c r="N147" s="225"/>
      <c r="O147" s="227">
        <f>IF(K147*L147*N147=0,0,(L147*N147)/K147)</f>
        <v>0</v>
      </c>
      <c r="P147" s="228"/>
      <c r="Q147" s="229"/>
      <c r="R147" s="230"/>
      <c r="S147" s="231"/>
      <c r="T147" s="232" t="str">
        <f>IF(Q147="","",Q147*$D147)</f>
        <v/>
      </c>
      <c r="U147" s="233" t="str">
        <f>IF(R147="","",R147*$D147)</f>
        <v/>
      </c>
      <c r="V147" s="234" t="str">
        <f>IF(S147="","",S147*$D147)</f>
        <v/>
      </c>
      <c r="W147" s="235"/>
    </row>
    <row r="148" spans="2:23" ht="12.95" customHeight="1" thickTop="1" thickBot="1">
      <c r="B148" s="887"/>
      <c r="C148" s="565" t="s">
        <v>316</v>
      </c>
      <c r="D148" s="220"/>
      <c r="E148" s="305"/>
      <c r="F148" s="385"/>
      <c r="G148" s="306"/>
      <c r="H148" s="307"/>
      <c r="I148" s="316"/>
      <c r="J148" s="477">
        <f>SUM(J144:J147)</f>
        <v>2600</v>
      </c>
      <c r="K148" s="308"/>
      <c r="L148" s="308"/>
      <c r="M148" s="309"/>
      <c r="N148" s="308"/>
      <c r="O148" s="310"/>
      <c r="P148" s="311"/>
      <c r="Q148" s="312"/>
      <c r="R148" s="313"/>
      <c r="S148" s="314"/>
      <c r="T148" s="315"/>
      <c r="U148" s="316"/>
      <c r="V148" s="317"/>
      <c r="W148" s="318"/>
    </row>
    <row r="149" spans="2:23" ht="12.95" customHeight="1">
      <c r="B149" s="888" t="s">
        <v>457</v>
      </c>
      <c r="C149" s="697" t="s">
        <v>195</v>
      </c>
      <c r="D149" s="204">
        <v>1</v>
      </c>
      <c r="E149" s="205"/>
      <c r="F149" s="382">
        <v>20000</v>
      </c>
      <c r="G149" s="206">
        <v>1</v>
      </c>
      <c r="H149" s="207">
        <v>1</v>
      </c>
      <c r="I149" s="327">
        <f>IF(D149=0,"",D149*1/G149*H149)</f>
        <v>1</v>
      </c>
      <c r="J149" s="478">
        <f t="shared" ref="J149:J159" si="72">IF(D149=0,"",ROUND(F149*I149,0))</f>
        <v>20000</v>
      </c>
      <c r="K149" s="208"/>
      <c r="L149" s="208"/>
      <c r="M149" s="209"/>
      <c r="N149" s="208"/>
      <c r="O149" s="210"/>
      <c r="P149" s="211"/>
      <c r="Q149" s="212"/>
      <c r="R149" s="213"/>
      <c r="S149" s="214"/>
      <c r="T149" s="215"/>
      <c r="U149" s="216"/>
      <c r="V149" s="217"/>
      <c r="W149" s="218"/>
    </row>
    <row r="150" spans="2:23" ht="12.95" customHeight="1">
      <c r="B150" s="889"/>
      <c r="C150" s="698" t="s">
        <v>124</v>
      </c>
      <c r="D150" s="156">
        <v>1</v>
      </c>
      <c r="E150" s="157"/>
      <c r="F150" s="386">
        <v>10000</v>
      </c>
      <c r="G150" s="158">
        <v>1</v>
      </c>
      <c r="H150" s="159">
        <v>1</v>
      </c>
      <c r="I150" s="481">
        <f t="shared" ref="I150:I159" si="73">IF(D150=0,"",D150*1/G150*H150)</f>
        <v>1</v>
      </c>
      <c r="J150" s="482">
        <f t="shared" si="72"/>
        <v>10000</v>
      </c>
      <c r="K150" s="160"/>
      <c r="L150" s="160"/>
      <c r="M150" s="161"/>
      <c r="N150" s="160"/>
      <c r="O150" s="162"/>
      <c r="P150" s="163"/>
      <c r="Q150" s="164"/>
      <c r="R150" s="165"/>
      <c r="S150" s="166"/>
      <c r="T150" s="167"/>
      <c r="U150" s="168"/>
      <c r="V150" s="169"/>
      <c r="W150" s="219"/>
    </row>
    <row r="151" spans="2:23" ht="12.95" customHeight="1">
      <c r="B151" s="889"/>
      <c r="C151" s="699" t="s">
        <v>196</v>
      </c>
      <c r="D151" s="156">
        <v>1</v>
      </c>
      <c r="E151" s="157"/>
      <c r="F151" s="386">
        <v>5000</v>
      </c>
      <c r="G151" s="158">
        <v>1</v>
      </c>
      <c r="H151" s="159">
        <v>1</v>
      </c>
      <c r="I151" s="481">
        <f t="shared" si="73"/>
        <v>1</v>
      </c>
      <c r="J151" s="482">
        <f t="shared" si="72"/>
        <v>5000</v>
      </c>
      <c r="K151" s="160"/>
      <c r="L151" s="160"/>
      <c r="M151" s="161"/>
      <c r="N151" s="160"/>
      <c r="O151" s="162"/>
      <c r="P151" s="163"/>
      <c r="Q151" s="164"/>
      <c r="R151" s="165"/>
      <c r="S151" s="166"/>
      <c r="T151" s="167"/>
      <c r="U151" s="168"/>
      <c r="V151" s="169"/>
      <c r="W151" s="219"/>
    </row>
    <row r="152" spans="2:23" ht="12.95" customHeight="1">
      <c r="B152" s="889"/>
      <c r="C152" s="700" t="s">
        <v>197</v>
      </c>
      <c r="D152" s="156">
        <v>1</v>
      </c>
      <c r="E152" s="157"/>
      <c r="F152" s="386">
        <v>10000</v>
      </c>
      <c r="G152" s="158">
        <v>1</v>
      </c>
      <c r="H152" s="159">
        <v>1</v>
      </c>
      <c r="I152" s="481">
        <f t="shared" si="73"/>
        <v>1</v>
      </c>
      <c r="J152" s="482">
        <f t="shared" si="72"/>
        <v>10000</v>
      </c>
      <c r="K152" s="160"/>
      <c r="L152" s="160"/>
      <c r="M152" s="161"/>
      <c r="N152" s="160"/>
      <c r="O152" s="162"/>
      <c r="P152" s="163"/>
      <c r="Q152" s="164"/>
      <c r="R152" s="165"/>
      <c r="S152" s="166"/>
      <c r="T152" s="167"/>
      <c r="U152" s="168"/>
      <c r="V152" s="169"/>
      <c r="W152" s="219"/>
    </row>
    <row r="153" spans="2:23" ht="12.95" customHeight="1">
      <c r="B153" s="889"/>
      <c r="C153" s="557"/>
      <c r="D153" s="156"/>
      <c r="E153" s="157"/>
      <c r="F153" s="386"/>
      <c r="G153" s="158"/>
      <c r="H153" s="159"/>
      <c r="I153" s="481" t="str">
        <f t="shared" si="73"/>
        <v/>
      </c>
      <c r="J153" s="482" t="str">
        <f t="shared" si="72"/>
        <v/>
      </c>
      <c r="K153" s="160"/>
      <c r="L153" s="160"/>
      <c r="M153" s="161"/>
      <c r="N153" s="160"/>
      <c r="O153" s="162"/>
      <c r="P153" s="163"/>
      <c r="Q153" s="164"/>
      <c r="R153" s="165"/>
      <c r="S153" s="166"/>
      <c r="T153" s="167"/>
      <c r="U153" s="168"/>
      <c r="V153" s="169"/>
      <c r="W153" s="219"/>
    </row>
    <row r="154" spans="2:23" ht="12.95" customHeight="1">
      <c r="B154" s="889"/>
      <c r="C154" s="557"/>
      <c r="D154" s="156"/>
      <c r="E154" s="157"/>
      <c r="F154" s="386"/>
      <c r="G154" s="158"/>
      <c r="H154" s="159"/>
      <c r="I154" s="481" t="str">
        <f t="shared" si="73"/>
        <v/>
      </c>
      <c r="J154" s="482" t="str">
        <f t="shared" si="72"/>
        <v/>
      </c>
      <c r="K154" s="160"/>
      <c r="L154" s="160"/>
      <c r="M154" s="161"/>
      <c r="N154" s="160"/>
      <c r="O154" s="162"/>
      <c r="P154" s="163"/>
      <c r="Q154" s="164"/>
      <c r="R154" s="165"/>
      <c r="S154" s="166"/>
      <c r="T154" s="167"/>
      <c r="U154" s="168"/>
      <c r="V154" s="169"/>
      <c r="W154" s="219"/>
    </row>
    <row r="155" spans="2:23" ht="12.95" customHeight="1">
      <c r="B155" s="889"/>
      <c r="C155" s="557"/>
      <c r="D155" s="156"/>
      <c r="E155" s="157"/>
      <c r="F155" s="386"/>
      <c r="G155" s="158"/>
      <c r="H155" s="159"/>
      <c r="I155" s="481" t="str">
        <f t="shared" si="73"/>
        <v/>
      </c>
      <c r="J155" s="482" t="str">
        <f t="shared" si="72"/>
        <v/>
      </c>
      <c r="K155" s="160"/>
      <c r="L155" s="160"/>
      <c r="M155" s="161"/>
      <c r="N155" s="160"/>
      <c r="O155" s="162"/>
      <c r="P155" s="163"/>
      <c r="Q155" s="164"/>
      <c r="R155" s="165"/>
      <c r="S155" s="166"/>
      <c r="T155" s="167"/>
      <c r="U155" s="168"/>
      <c r="V155" s="169"/>
      <c r="W155" s="219"/>
    </row>
    <row r="156" spans="2:23" ht="12.95" customHeight="1">
      <c r="B156" s="889"/>
      <c r="C156" s="557"/>
      <c r="D156" s="156"/>
      <c r="E156" s="157"/>
      <c r="F156" s="386"/>
      <c r="G156" s="158"/>
      <c r="H156" s="159"/>
      <c r="I156" s="481" t="str">
        <f t="shared" si="73"/>
        <v/>
      </c>
      <c r="J156" s="482" t="str">
        <f t="shared" si="72"/>
        <v/>
      </c>
      <c r="K156" s="160"/>
      <c r="L156" s="160"/>
      <c r="M156" s="161"/>
      <c r="N156" s="160"/>
      <c r="O156" s="162"/>
      <c r="P156" s="163"/>
      <c r="Q156" s="164"/>
      <c r="R156" s="165"/>
      <c r="S156" s="166"/>
      <c r="T156" s="167"/>
      <c r="U156" s="168"/>
      <c r="V156" s="169"/>
      <c r="W156" s="219"/>
    </row>
    <row r="157" spans="2:23" ht="12.95" customHeight="1">
      <c r="B157" s="889"/>
      <c r="C157" s="557"/>
      <c r="D157" s="156"/>
      <c r="E157" s="157"/>
      <c r="F157" s="386"/>
      <c r="G157" s="158"/>
      <c r="H157" s="159"/>
      <c r="I157" s="481" t="str">
        <f t="shared" si="73"/>
        <v/>
      </c>
      <c r="J157" s="482" t="str">
        <f t="shared" si="72"/>
        <v/>
      </c>
      <c r="K157" s="160"/>
      <c r="L157" s="160"/>
      <c r="M157" s="161"/>
      <c r="N157" s="160"/>
      <c r="O157" s="162"/>
      <c r="P157" s="163"/>
      <c r="Q157" s="164"/>
      <c r="R157" s="165"/>
      <c r="S157" s="166"/>
      <c r="T157" s="167"/>
      <c r="U157" s="168"/>
      <c r="V157" s="169"/>
      <c r="W157" s="219"/>
    </row>
    <row r="158" spans="2:23" ht="12.95" customHeight="1">
      <c r="B158" s="889"/>
      <c r="C158" s="557"/>
      <c r="D158" s="156"/>
      <c r="E158" s="157"/>
      <c r="F158" s="386"/>
      <c r="G158" s="158"/>
      <c r="H158" s="159"/>
      <c r="I158" s="481" t="str">
        <f t="shared" si="73"/>
        <v/>
      </c>
      <c r="J158" s="482" t="str">
        <f t="shared" si="72"/>
        <v/>
      </c>
      <c r="K158" s="160"/>
      <c r="L158" s="160"/>
      <c r="M158" s="161"/>
      <c r="N158" s="160"/>
      <c r="O158" s="162"/>
      <c r="P158" s="163"/>
      <c r="Q158" s="164"/>
      <c r="R158" s="165"/>
      <c r="S158" s="166"/>
      <c r="T158" s="167"/>
      <c r="U158" s="168"/>
      <c r="V158" s="169"/>
      <c r="W158" s="219"/>
    </row>
    <row r="159" spans="2:23" ht="12.95" customHeight="1" thickBot="1">
      <c r="B159" s="889"/>
      <c r="C159" s="558"/>
      <c r="D159" s="221"/>
      <c r="E159" s="222"/>
      <c r="F159" s="384"/>
      <c r="G159" s="223"/>
      <c r="H159" s="224"/>
      <c r="I159" s="329" t="str">
        <f t="shared" si="73"/>
        <v/>
      </c>
      <c r="J159" s="480" t="str">
        <f t="shared" si="72"/>
        <v/>
      </c>
      <c r="K159" s="225"/>
      <c r="L159" s="225"/>
      <c r="M159" s="226"/>
      <c r="N159" s="225"/>
      <c r="O159" s="227"/>
      <c r="P159" s="228"/>
      <c r="Q159" s="229"/>
      <c r="R159" s="230"/>
      <c r="S159" s="231"/>
      <c r="T159" s="232"/>
      <c r="U159" s="233"/>
      <c r="V159" s="234"/>
      <c r="W159" s="235"/>
    </row>
    <row r="160" spans="2:23" ht="12.95" customHeight="1" thickTop="1" thickBot="1">
      <c r="B160" s="890"/>
      <c r="C160" s="554" t="s">
        <v>316</v>
      </c>
      <c r="D160" s="220"/>
      <c r="E160" s="305"/>
      <c r="F160" s="385"/>
      <c r="G160" s="306"/>
      <c r="H160" s="307"/>
      <c r="I160" s="316"/>
      <c r="J160" s="477">
        <f>SUM(J149:J159)</f>
        <v>45000</v>
      </c>
      <c r="K160" s="308"/>
      <c r="L160" s="308"/>
      <c r="M160" s="309"/>
      <c r="N160" s="308"/>
      <c r="O160" s="310"/>
      <c r="P160" s="311"/>
      <c r="Q160" s="312"/>
      <c r="R160" s="313"/>
      <c r="S160" s="314"/>
      <c r="T160" s="473"/>
      <c r="U160" s="316"/>
      <c r="V160" s="317"/>
      <c r="W160" s="318"/>
    </row>
    <row r="161" spans="3:23" ht="13.5" customHeight="1">
      <c r="C161" s="191"/>
      <c r="D161" s="95"/>
      <c r="E161" s="95"/>
      <c r="F161" s="414"/>
      <c r="G161" s="95"/>
      <c r="H161" s="95"/>
      <c r="I161" s="476"/>
      <c r="J161" s="417"/>
      <c r="K161" s="1"/>
      <c r="L161" s="1"/>
      <c r="M161" s="415"/>
      <c r="N161" s="1"/>
      <c r="O161" s="1"/>
      <c r="P161" s="1"/>
      <c r="Q161" s="416"/>
      <c r="R161" s="416"/>
      <c r="S161" s="416"/>
      <c r="T161" s="417"/>
      <c r="U161" s="417"/>
      <c r="V161" s="417"/>
      <c r="W161" s="95"/>
    </row>
    <row r="162" spans="3:23" s="187" customFormat="1">
      <c r="C162" s="572"/>
      <c r="F162" s="418"/>
      <c r="I162" s="422"/>
      <c r="J162" s="422"/>
      <c r="K162" s="419"/>
      <c r="L162" s="419"/>
      <c r="M162" s="420"/>
      <c r="N162" s="419"/>
      <c r="O162" s="419"/>
      <c r="P162" s="419"/>
      <c r="Q162" s="421"/>
      <c r="R162" s="421"/>
      <c r="S162" s="421"/>
      <c r="T162" s="422"/>
      <c r="U162" s="422"/>
      <c r="V162" s="422"/>
    </row>
    <row r="163" spans="3:23" s="187" customFormat="1">
      <c r="C163" s="572"/>
      <c r="F163" s="418"/>
      <c r="I163" s="422"/>
      <c r="J163" s="422"/>
      <c r="K163" s="419"/>
      <c r="L163" s="419"/>
      <c r="M163" s="420"/>
      <c r="N163" s="419"/>
      <c r="O163" s="419"/>
      <c r="P163" s="419"/>
      <c r="Q163" s="421"/>
      <c r="R163" s="421"/>
      <c r="S163" s="421"/>
      <c r="T163" s="422"/>
      <c r="U163" s="422"/>
      <c r="V163" s="422"/>
    </row>
    <row r="164" spans="3:23" s="187" customFormat="1">
      <c r="C164" s="572"/>
      <c r="F164" s="418"/>
      <c r="I164" s="422"/>
      <c r="J164" s="422"/>
      <c r="K164" s="419"/>
      <c r="L164" s="419"/>
      <c r="M164" s="420"/>
      <c r="N164" s="419"/>
      <c r="O164" s="419"/>
      <c r="P164" s="419"/>
      <c r="Q164" s="421"/>
      <c r="R164" s="421"/>
      <c r="S164" s="421"/>
      <c r="T164" s="422"/>
      <c r="U164" s="422"/>
      <c r="V164" s="422"/>
    </row>
    <row r="165" spans="3:23" s="187" customFormat="1">
      <c r="C165" s="572"/>
      <c r="F165" s="418"/>
      <c r="I165" s="422"/>
      <c r="J165" s="422"/>
      <c r="K165" s="419"/>
      <c r="L165" s="419"/>
      <c r="M165" s="420"/>
      <c r="N165" s="419"/>
      <c r="O165" s="419"/>
      <c r="P165" s="419"/>
      <c r="Q165" s="421"/>
      <c r="R165" s="421"/>
      <c r="S165" s="421"/>
      <c r="T165" s="422"/>
      <c r="U165" s="422"/>
      <c r="V165" s="422"/>
    </row>
    <row r="166" spans="3:23" s="187" customFormat="1">
      <c r="C166" s="572"/>
      <c r="F166" s="418"/>
      <c r="I166" s="422"/>
      <c r="J166" s="422"/>
      <c r="K166" s="419"/>
      <c r="L166" s="419"/>
      <c r="M166" s="420"/>
      <c r="N166" s="419"/>
      <c r="O166" s="419"/>
      <c r="P166" s="419"/>
      <c r="Q166" s="421"/>
      <c r="R166" s="421"/>
      <c r="S166" s="421"/>
      <c r="T166" s="422"/>
      <c r="U166" s="422"/>
      <c r="V166" s="422"/>
    </row>
    <row r="167" spans="3:23" s="187" customFormat="1">
      <c r="C167" s="572"/>
      <c r="F167" s="418"/>
      <c r="I167" s="422"/>
      <c r="J167" s="422"/>
      <c r="K167" s="419"/>
      <c r="L167" s="419"/>
      <c r="M167" s="420"/>
      <c r="N167" s="419"/>
      <c r="O167" s="419"/>
      <c r="P167" s="419"/>
      <c r="Q167" s="421"/>
      <c r="R167" s="421"/>
      <c r="S167" s="421"/>
      <c r="T167" s="422"/>
      <c r="U167" s="422"/>
      <c r="V167" s="422"/>
    </row>
    <row r="168" spans="3:23" s="187" customFormat="1">
      <c r="C168" s="572"/>
      <c r="F168" s="418"/>
      <c r="I168" s="422"/>
      <c r="J168" s="422"/>
      <c r="K168" s="419"/>
      <c r="L168" s="419"/>
      <c r="M168" s="420"/>
      <c r="N168" s="419"/>
      <c r="O168" s="419"/>
      <c r="P168" s="419"/>
      <c r="Q168" s="421"/>
      <c r="R168" s="421"/>
      <c r="S168" s="421"/>
      <c r="T168" s="422"/>
      <c r="U168" s="422"/>
      <c r="V168" s="422"/>
    </row>
    <row r="169" spans="3:23" s="187" customFormat="1">
      <c r="C169" s="572"/>
      <c r="F169" s="418"/>
      <c r="I169" s="422" t="s">
        <v>314</v>
      </c>
      <c r="J169" s="422" t="s">
        <v>314</v>
      </c>
      <c r="K169" s="419"/>
      <c r="L169" s="419"/>
      <c r="M169" s="420"/>
      <c r="N169" s="419"/>
      <c r="O169" s="419">
        <v>0</v>
      </c>
      <c r="P169" s="419"/>
      <c r="Q169" s="421"/>
      <c r="R169" s="421"/>
      <c r="S169" s="421"/>
      <c r="T169" s="422" t="s">
        <v>314</v>
      </c>
      <c r="U169" s="422" t="s">
        <v>314</v>
      </c>
      <c r="V169" s="422" t="s">
        <v>314</v>
      </c>
    </row>
    <row r="170" spans="3:23" s="187" customFormat="1">
      <c r="C170" s="572"/>
      <c r="F170" s="418"/>
      <c r="I170" s="422" t="s">
        <v>314</v>
      </c>
      <c r="J170" s="422" t="s">
        <v>314</v>
      </c>
      <c r="K170" s="419"/>
      <c r="L170" s="419"/>
      <c r="M170" s="420"/>
      <c r="N170" s="419"/>
      <c r="O170" s="419">
        <v>0</v>
      </c>
      <c r="P170" s="419"/>
      <c r="Q170" s="421"/>
      <c r="R170" s="421"/>
      <c r="S170" s="421"/>
      <c r="T170" s="422" t="s">
        <v>314</v>
      </c>
      <c r="U170" s="422" t="s">
        <v>314</v>
      </c>
      <c r="V170" s="422" t="s">
        <v>314</v>
      </c>
    </row>
    <row r="171" spans="3:23" s="187" customFormat="1">
      <c r="C171" s="573"/>
      <c r="D171" s="188"/>
      <c r="E171" s="188"/>
      <c r="F171" s="423"/>
      <c r="G171" s="188"/>
      <c r="H171" s="188"/>
      <c r="I171" s="427" t="s">
        <v>314</v>
      </c>
      <c r="J171" s="427" t="s">
        <v>314</v>
      </c>
      <c r="K171" s="424"/>
      <c r="L171" s="424"/>
      <c r="M171" s="425"/>
      <c r="N171" s="424"/>
      <c r="O171" s="424">
        <v>0</v>
      </c>
      <c r="P171" s="424"/>
      <c r="Q171" s="426"/>
      <c r="R171" s="426"/>
      <c r="S171" s="426"/>
      <c r="T171" s="427" t="s">
        <v>314</v>
      </c>
      <c r="U171" s="427" t="s">
        <v>314</v>
      </c>
      <c r="V171" s="427" t="s">
        <v>314</v>
      </c>
      <c r="W171" s="188"/>
    </row>
    <row r="172" spans="3:23" s="187" customFormat="1">
      <c r="C172" s="573"/>
      <c r="D172" s="188"/>
      <c r="E172" s="188"/>
      <c r="F172" s="423"/>
      <c r="G172" s="188"/>
      <c r="H172" s="188"/>
      <c r="I172" s="427" t="s">
        <v>314</v>
      </c>
      <c r="J172" s="427" t="s">
        <v>314</v>
      </c>
      <c r="K172" s="424"/>
      <c r="L172" s="424"/>
      <c r="M172" s="425"/>
      <c r="N172" s="424"/>
      <c r="O172" s="424">
        <v>0</v>
      </c>
      <c r="P172" s="424"/>
      <c r="Q172" s="426"/>
      <c r="R172" s="426"/>
      <c r="S172" s="426"/>
      <c r="T172" s="427" t="s">
        <v>314</v>
      </c>
      <c r="U172" s="427" t="s">
        <v>314</v>
      </c>
      <c r="V172" s="427" t="s">
        <v>314</v>
      </c>
      <c r="W172" s="188"/>
    </row>
    <row r="173" spans="3:23" s="187" customFormat="1">
      <c r="C173" s="573"/>
      <c r="D173" s="188"/>
      <c r="E173" s="188"/>
      <c r="F173" s="423"/>
      <c r="G173" s="188"/>
      <c r="H173" s="188"/>
      <c r="I173" s="427" t="s">
        <v>314</v>
      </c>
      <c r="J173" s="427" t="s">
        <v>314</v>
      </c>
      <c r="K173" s="424"/>
      <c r="L173" s="424"/>
      <c r="M173" s="425"/>
      <c r="N173" s="424"/>
      <c r="O173" s="424">
        <v>0</v>
      </c>
      <c r="P173" s="424"/>
      <c r="Q173" s="426"/>
      <c r="R173" s="426"/>
      <c r="S173" s="426"/>
      <c r="T173" s="427" t="s">
        <v>314</v>
      </c>
      <c r="U173" s="427" t="s">
        <v>314</v>
      </c>
      <c r="V173" s="427" t="s">
        <v>314</v>
      </c>
      <c r="W173" s="188"/>
    </row>
    <row r="174" spans="3:23" s="187" customFormat="1">
      <c r="C174" s="573"/>
      <c r="D174" s="188"/>
      <c r="E174" s="188"/>
      <c r="F174" s="423"/>
      <c r="G174" s="188"/>
      <c r="H174" s="188"/>
      <c r="I174" s="427" t="s">
        <v>314</v>
      </c>
      <c r="J174" s="427" t="s">
        <v>314</v>
      </c>
      <c r="K174" s="424"/>
      <c r="L174" s="424"/>
      <c r="M174" s="425"/>
      <c r="N174" s="424"/>
      <c r="O174" s="424">
        <v>0</v>
      </c>
      <c r="P174" s="424"/>
      <c r="Q174" s="426"/>
      <c r="R174" s="426"/>
      <c r="S174" s="426"/>
      <c r="T174" s="427" t="s">
        <v>314</v>
      </c>
      <c r="U174" s="427" t="s">
        <v>314</v>
      </c>
      <c r="V174" s="427" t="s">
        <v>314</v>
      </c>
      <c r="W174" s="188"/>
    </row>
    <row r="175" spans="3:23" s="187" customFormat="1">
      <c r="C175" s="573"/>
      <c r="D175" s="188"/>
      <c r="E175" s="188"/>
      <c r="F175" s="423"/>
      <c r="G175" s="188"/>
      <c r="H175" s="188"/>
      <c r="I175" s="427" t="s">
        <v>314</v>
      </c>
      <c r="J175" s="427" t="s">
        <v>314</v>
      </c>
      <c r="K175" s="424"/>
      <c r="L175" s="424"/>
      <c r="M175" s="425"/>
      <c r="N175" s="424"/>
      <c r="O175" s="424">
        <v>0</v>
      </c>
      <c r="P175" s="424"/>
      <c r="Q175" s="426"/>
      <c r="R175" s="426"/>
      <c r="S175" s="426"/>
      <c r="T175" s="427" t="s">
        <v>314</v>
      </c>
      <c r="U175" s="427" t="s">
        <v>314</v>
      </c>
      <c r="V175" s="427" t="s">
        <v>314</v>
      </c>
      <c r="W175" s="188"/>
    </row>
    <row r="176" spans="3:23" s="187" customFormat="1">
      <c r="C176" s="573"/>
      <c r="D176" s="188"/>
      <c r="E176" s="188"/>
      <c r="F176" s="423"/>
      <c r="G176" s="188"/>
      <c r="H176" s="188"/>
      <c r="I176" s="427" t="s">
        <v>314</v>
      </c>
      <c r="J176" s="427" t="s">
        <v>314</v>
      </c>
      <c r="K176" s="424"/>
      <c r="L176" s="424"/>
      <c r="M176" s="425"/>
      <c r="N176" s="424"/>
      <c r="O176" s="424">
        <v>0</v>
      </c>
      <c r="P176" s="424"/>
      <c r="Q176" s="426"/>
      <c r="R176" s="426"/>
      <c r="S176" s="426"/>
      <c r="T176" s="427" t="s">
        <v>314</v>
      </c>
      <c r="U176" s="427" t="s">
        <v>314</v>
      </c>
      <c r="V176" s="427" t="s">
        <v>314</v>
      </c>
      <c r="W176" s="188"/>
    </row>
    <row r="177" spans="9:22">
      <c r="I177" s="427" t="s">
        <v>314</v>
      </c>
      <c r="J177" s="427" t="s">
        <v>314</v>
      </c>
      <c r="O177" s="424">
        <v>0</v>
      </c>
      <c r="T177" s="427" t="s">
        <v>314</v>
      </c>
      <c r="U177" s="427" t="s">
        <v>314</v>
      </c>
      <c r="V177" s="427" t="s">
        <v>314</v>
      </c>
    </row>
    <row r="178" spans="9:22">
      <c r="I178" s="427" t="s">
        <v>314</v>
      </c>
      <c r="J178" s="427" t="s">
        <v>314</v>
      </c>
      <c r="O178" s="424">
        <v>0</v>
      </c>
      <c r="T178" s="427" t="s">
        <v>314</v>
      </c>
      <c r="U178" s="427" t="s">
        <v>314</v>
      </c>
      <c r="V178" s="427" t="s">
        <v>314</v>
      </c>
    </row>
    <row r="179" spans="9:22">
      <c r="I179" s="427" t="s">
        <v>314</v>
      </c>
      <c r="J179" s="427" t="s">
        <v>314</v>
      </c>
      <c r="O179" s="424">
        <v>0</v>
      </c>
      <c r="T179" s="427" t="s">
        <v>314</v>
      </c>
      <c r="U179" s="427" t="s">
        <v>314</v>
      </c>
      <c r="V179" s="427" t="s">
        <v>314</v>
      </c>
    </row>
    <row r="180" spans="9:22">
      <c r="I180" s="427" t="s">
        <v>314</v>
      </c>
      <c r="J180" s="427" t="s">
        <v>314</v>
      </c>
      <c r="O180" s="424">
        <v>0</v>
      </c>
      <c r="T180" s="427" t="s">
        <v>314</v>
      </c>
      <c r="U180" s="427" t="s">
        <v>314</v>
      </c>
      <c r="V180" s="427" t="s">
        <v>314</v>
      </c>
    </row>
    <row r="181" spans="9:22">
      <c r="I181" s="427" t="s">
        <v>314</v>
      </c>
      <c r="J181" s="427" t="s">
        <v>314</v>
      </c>
      <c r="O181" s="424">
        <v>0</v>
      </c>
      <c r="T181" s="427" t="s">
        <v>314</v>
      </c>
      <c r="U181" s="427" t="s">
        <v>314</v>
      </c>
      <c r="V181" s="427" t="s">
        <v>314</v>
      </c>
    </row>
    <row r="182" spans="9:22">
      <c r="I182" s="427" t="s">
        <v>314</v>
      </c>
      <c r="J182" s="427" t="s">
        <v>314</v>
      </c>
      <c r="O182" s="424">
        <v>0</v>
      </c>
      <c r="T182" s="427" t="s">
        <v>314</v>
      </c>
      <c r="U182" s="427" t="s">
        <v>314</v>
      </c>
      <c r="V182" s="427" t="s">
        <v>314</v>
      </c>
    </row>
    <row r="183" spans="9:22">
      <c r="I183" s="427" t="s">
        <v>314</v>
      </c>
      <c r="J183" s="427" t="s">
        <v>314</v>
      </c>
      <c r="O183" s="424">
        <v>0</v>
      </c>
      <c r="T183" s="427" t="s">
        <v>314</v>
      </c>
      <c r="U183" s="427" t="s">
        <v>314</v>
      </c>
      <c r="V183" s="427" t="s">
        <v>314</v>
      </c>
    </row>
    <row r="184" spans="9:22">
      <c r="I184" s="427" t="s">
        <v>314</v>
      </c>
      <c r="J184" s="427" t="s">
        <v>314</v>
      </c>
      <c r="O184" s="424">
        <v>0</v>
      </c>
      <c r="T184" s="427" t="s">
        <v>314</v>
      </c>
      <c r="U184" s="427" t="s">
        <v>314</v>
      </c>
      <c r="V184" s="427" t="s">
        <v>314</v>
      </c>
    </row>
    <row r="185" spans="9:22">
      <c r="I185" s="427" t="s">
        <v>314</v>
      </c>
      <c r="J185" s="427" t="s">
        <v>314</v>
      </c>
      <c r="O185" s="424">
        <v>0</v>
      </c>
      <c r="T185" s="427" t="s">
        <v>314</v>
      </c>
      <c r="U185" s="427" t="s">
        <v>314</v>
      </c>
      <c r="V185" s="427" t="s">
        <v>314</v>
      </c>
    </row>
    <row r="186" spans="9:22">
      <c r="I186" s="427" t="s">
        <v>314</v>
      </c>
      <c r="J186" s="427" t="s">
        <v>314</v>
      </c>
      <c r="O186" s="424">
        <v>0</v>
      </c>
      <c r="T186" s="427" t="s">
        <v>314</v>
      </c>
      <c r="U186" s="427" t="s">
        <v>314</v>
      </c>
      <c r="V186" s="427" t="s">
        <v>314</v>
      </c>
    </row>
    <row r="187" spans="9:22">
      <c r="I187" s="427" t="s">
        <v>314</v>
      </c>
      <c r="J187" s="427" t="s">
        <v>314</v>
      </c>
      <c r="O187" s="424">
        <v>0</v>
      </c>
      <c r="T187" s="427" t="s">
        <v>314</v>
      </c>
      <c r="U187" s="427" t="s">
        <v>314</v>
      </c>
      <c r="V187" s="427" t="s">
        <v>314</v>
      </c>
    </row>
    <row r="188" spans="9:22">
      <c r="I188" s="427" t="s">
        <v>314</v>
      </c>
      <c r="J188" s="427" t="s">
        <v>314</v>
      </c>
      <c r="O188" s="424">
        <v>0</v>
      </c>
      <c r="T188" s="427" t="s">
        <v>314</v>
      </c>
      <c r="U188" s="427" t="s">
        <v>314</v>
      </c>
      <c r="V188" s="427" t="s">
        <v>314</v>
      </c>
    </row>
    <row r="189" spans="9:22">
      <c r="I189" s="427" t="s">
        <v>314</v>
      </c>
      <c r="J189" s="427" t="s">
        <v>314</v>
      </c>
      <c r="O189" s="424">
        <v>0</v>
      </c>
      <c r="T189" s="427" t="s">
        <v>314</v>
      </c>
      <c r="U189" s="427" t="s">
        <v>314</v>
      </c>
      <c r="V189" s="427" t="s">
        <v>314</v>
      </c>
    </row>
    <row r="190" spans="9:22">
      <c r="I190" s="427" t="s">
        <v>314</v>
      </c>
      <c r="J190" s="427" t="s">
        <v>314</v>
      </c>
      <c r="O190" s="424">
        <v>0</v>
      </c>
      <c r="T190" s="427" t="s">
        <v>314</v>
      </c>
      <c r="U190" s="427" t="s">
        <v>314</v>
      </c>
      <c r="V190" s="427" t="s">
        <v>314</v>
      </c>
    </row>
    <row r="191" spans="9:22">
      <c r="I191" s="427" t="s">
        <v>314</v>
      </c>
      <c r="J191" s="427" t="s">
        <v>314</v>
      </c>
      <c r="O191" s="424">
        <v>0</v>
      </c>
      <c r="T191" s="427" t="s">
        <v>314</v>
      </c>
      <c r="U191" s="427" t="s">
        <v>314</v>
      </c>
      <c r="V191" s="427" t="s">
        <v>314</v>
      </c>
    </row>
    <row r="192" spans="9:22">
      <c r="I192" s="427" t="s">
        <v>314</v>
      </c>
      <c r="J192" s="427" t="s">
        <v>314</v>
      </c>
      <c r="O192" s="424">
        <v>0</v>
      </c>
      <c r="T192" s="427" t="s">
        <v>314</v>
      </c>
      <c r="U192" s="427" t="s">
        <v>314</v>
      </c>
      <c r="V192" s="427" t="s">
        <v>314</v>
      </c>
    </row>
    <row r="193" spans="9:22">
      <c r="I193" s="427" t="s">
        <v>314</v>
      </c>
      <c r="J193" s="427" t="s">
        <v>314</v>
      </c>
      <c r="O193" s="424">
        <v>0</v>
      </c>
      <c r="T193" s="427" t="s">
        <v>314</v>
      </c>
      <c r="U193" s="427" t="s">
        <v>314</v>
      </c>
      <c r="V193" s="427" t="s">
        <v>314</v>
      </c>
    </row>
    <row r="194" spans="9:22">
      <c r="T194" s="427"/>
      <c r="U194" s="427"/>
      <c r="V194" s="427"/>
    </row>
    <row r="195" spans="9:22">
      <c r="T195" s="427"/>
      <c r="U195" s="427"/>
      <c r="V195" s="427"/>
    </row>
    <row r="196" spans="9:22">
      <c r="T196" s="427"/>
      <c r="U196" s="427"/>
      <c r="V196" s="427"/>
    </row>
    <row r="197" spans="9:22">
      <c r="T197" s="427"/>
      <c r="U197" s="427"/>
      <c r="V197" s="427"/>
    </row>
    <row r="198" spans="9:22">
      <c r="T198" s="427"/>
      <c r="U198" s="427"/>
      <c r="V198" s="427"/>
    </row>
    <row r="199" spans="9:22">
      <c r="T199" s="427"/>
      <c r="U199" s="427"/>
      <c r="V199" s="427"/>
    </row>
    <row r="200" spans="9:22">
      <c r="T200" s="427"/>
      <c r="U200" s="427"/>
      <c r="V200" s="427"/>
    </row>
    <row r="201" spans="9:22">
      <c r="T201" s="427"/>
      <c r="U201" s="427"/>
      <c r="V201" s="427"/>
    </row>
    <row r="202" spans="9:22">
      <c r="T202" s="427"/>
      <c r="U202" s="427"/>
      <c r="V202" s="427"/>
    </row>
    <row r="203" spans="9:22">
      <c r="T203" s="427"/>
      <c r="U203" s="427"/>
      <c r="V203" s="427"/>
    </row>
    <row r="204" spans="9:22">
      <c r="T204" s="427"/>
      <c r="U204" s="427"/>
      <c r="V204" s="427"/>
    </row>
    <row r="205" spans="9:22" hidden="1">
      <c r="T205" s="427"/>
      <c r="U205" s="427"/>
      <c r="V205" s="427"/>
    </row>
    <row r="206" spans="9:22">
      <c r="T206" s="427"/>
      <c r="U206" s="427"/>
      <c r="V206" s="427"/>
    </row>
    <row r="207" spans="9:22">
      <c r="T207" s="427"/>
      <c r="U207" s="427"/>
      <c r="V207" s="427"/>
    </row>
    <row r="208" spans="9:22">
      <c r="T208" s="427"/>
      <c r="U208" s="427"/>
      <c r="V208" s="427"/>
    </row>
    <row r="209" spans="20:22">
      <c r="T209" s="427"/>
      <c r="U209" s="427"/>
      <c r="V209" s="427"/>
    </row>
    <row r="210" spans="20:22">
      <c r="T210" s="427"/>
      <c r="U210" s="427"/>
      <c r="V210" s="427"/>
    </row>
    <row r="211" spans="20:22">
      <c r="T211" s="427"/>
      <c r="U211" s="427"/>
      <c r="V211" s="427"/>
    </row>
    <row r="212" spans="20:22">
      <c r="T212" s="427"/>
      <c r="U212" s="427"/>
      <c r="V212" s="427"/>
    </row>
    <row r="213" spans="20:22">
      <c r="T213" s="427"/>
      <c r="U213" s="427"/>
      <c r="V213" s="427"/>
    </row>
    <row r="214" spans="20:22">
      <c r="T214" s="427"/>
      <c r="U214" s="427"/>
      <c r="V214" s="427"/>
    </row>
    <row r="215" spans="20:22">
      <c r="T215" s="427"/>
      <c r="U215" s="427"/>
      <c r="V215" s="427"/>
    </row>
    <row r="216" spans="20:22">
      <c r="T216" s="427"/>
      <c r="U216" s="427"/>
      <c r="V216" s="427"/>
    </row>
    <row r="217" spans="20:22">
      <c r="T217" s="427"/>
      <c r="U217" s="427"/>
      <c r="V217" s="427"/>
    </row>
    <row r="218" spans="20:22">
      <c r="T218" s="427"/>
      <c r="U218" s="427"/>
      <c r="V218" s="427"/>
    </row>
    <row r="219" spans="20:22">
      <c r="T219" s="427"/>
      <c r="U219" s="427"/>
      <c r="V219" s="427"/>
    </row>
    <row r="220" spans="20:22">
      <c r="T220" s="427"/>
      <c r="U220" s="427"/>
      <c r="V220" s="427"/>
    </row>
    <row r="221" spans="20:22">
      <c r="T221" s="427"/>
      <c r="U221" s="427"/>
      <c r="V221" s="427"/>
    </row>
    <row r="222" spans="20:22">
      <c r="T222" s="427"/>
      <c r="U222" s="427"/>
      <c r="V222" s="427"/>
    </row>
    <row r="223" spans="20:22">
      <c r="T223" s="427"/>
      <c r="U223" s="427"/>
      <c r="V223" s="427"/>
    </row>
    <row r="224" spans="20:22">
      <c r="T224" s="427"/>
      <c r="U224" s="427"/>
      <c r="V224" s="427"/>
    </row>
    <row r="225" spans="20:22">
      <c r="T225" s="427"/>
      <c r="U225" s="427"/>
      <c r="V225" s="427"/>
    </row>
    <row r="226" spans="20:22">
      <c r="T226" s="427"/>
      <c r="U226" s="427"/>
      <c r="V226" s="427"/>
    </row>
    <row r="227" spans="20:22">
      <c r="T227" s="427"/>
      <c r="U227" s="427"/>
      <c r="V227" s="427"/>
    </row>
    <row r="228" spans="20:22">
      <c r="T228" s="427"/>
      <c r="U228" s="427"/>
      <c r="V228" s="427"/>
    </row>
    <row r="229" spans="20:22">
      <c r="T229" s="427"/>
      <c r="U229" s="427"/>
      <c r="V229" s="427"/>
    </row>
    <row r="230" spans="20:22">
      <c r="T230" s="427"/>
      <c r="U230" s="427"/>
      <c r="V230" s="427"/>
    </row>
    <row r="231" spans="20:22">
      <c r="T231" s="427"/>
      <c r="U231" s="427"/>
      <c r="V231" s="427"/>
    </row>
    <row r="232" spans="20:22">
      <c r="T232" s="427"/>
      <c r="U232" s="427"/>
      <c r="V232" s="427"/>
    </row>
    <row r="233" spans="20:22">
      <c r="T233" s="427"/>
      <c r="U233" s="427"/>
      <c r="V233" s="427"/>
    </row>
    <row r="234" spans="20:22">
      <c r="T234" s="427"/>
      <c r="U234" s="427"/>
      <c r="V234" s="427"/>
    </row>
    <row r="235" spans="20:22">
      <c r="T235" s="427"/>
      <c r="U235" s="427"/>
      <c r="V235" s="427"/>
    </row>
    <row r="236" spans="20:22">
      <c r="T236" s="427"/>
      <c r="U236" s="427"/>
      <c r="V236" s="427"/>
    </row>
    <row r="237" spans="20:22">
      <c r="T237" s="427"/>
      <c r="U237" s="427"/>
      <c r="V237" s="427"/>
    </row>
    <row r="238" spans="20:22">
      <c r="T238" s="427"/>
      <c r="U238" s="427"/>
      <c r="V238" s="427"/>
    </row>
    <row r="239" spans="20:22">
      <c r="T239" s="427"/>
      <c r="U239" s="427"/>
      <c r="V239" s="427"/>
    </row>
    <row r="240" spans="20:22">
      <c r="T240" s="427"/>
      <c r="U240" s="427"/>
      <c r="V240" s="427"/>
    </row>
    <row r="241" spans="20:22">
      <c r="T241" s="427"/>
      <c r="U241" s="427"/>
      <c r="V241" s="427"/>
    </row>
    <row r="242" spans="20:22">
      <c r="T242" s="427"/>
      <c r="U242" s="427"/>
      <c r="V242" s="427"/>
    </row>
    <row r="243" spans="20:22">
      <c r="T243" s="427"/>
      <c r="U243" s="427"/>
      <c r="V243" s="427"/>
    </row>
    <row r="244" spans="20:22">
      <c r="T244" s="427"/>
      <c r="U244" s="427"/>
      <c r="V244" s="427"/>
    </row>
    <row r="245" spans="20:22">
      <c r="T245" s="427"/>
      <c r="U245" s="427"/>
      <c r="V245" s="427"/>
    </row>
    <row r="246" spans="20:22">
      <c r="T246" s="427"/>
      <c r="U246" s="427"/>
      <c r="V246" s="427"/>
    </row>
    <row r="247" spans="20:22">
      <c r="T247" s="427"/>
      <c r="U247" s="427"/>
      <c r="V247" s="427"/>
    </row>
    <row r="248" spans="20:22">
      <c r="T248" s="427"/>
      <c r="U248" s="427"/>
      <c r="V248" s="427"/>
    </row>
    <row r="249" spans="20:22">
      <c r="T249" s="427"/>
      <c r="U249" s="427"/>
      <c r="V249" s="427"/>
    </row>
    <row r="250" spans="20:22">
      <c r="T250" s="427"/>
      <c r="U250" s="427"/>
      <c r="V250" s="427"/>
    </row>
    <row r="251" spans="20:22">
      <c r="T251" s="427"/>
      <c r="U251" s="427"/>
      <c r="V251" s="427"/>
    </row>
    <row r="252" spans="20:22">
      <c r="T252" s="427"/>
      <c r="U252" s="427"/>
      <c r="V252" s="427"/>
    </row>
    <row r="253" spans="20:22">
      <c r="T253" s="427"/>
      <c r="U253" s="427"/>
      <c r="V253" s="427"/>
    </row>
    <row r="254" spans="20:22">
      <c r="T254" s="427"/>
      <c r="U254" s="427"/>
      <c r="V254" s="427"/>
    </row>
    <row r="255" spans="20:22">
      <c r="T255" s="427"/>
      <c r="U255" s="427"/>
      <c r="V255" s="427"/>
    </row>
    <row r="256" spans="20:22">
      <c r="T256" s="427"/>
      <c r="U256" s="427"/>
      <c r="V256" s="427"/>
    </row>
    <row r="257" spans="20:22">
      <c r="T257" s="427"/>
      <c r="U257" s="427"/>
      <c r="V257" s="427"/>
    </row>
    <row r="258" spans="20:22">
      <c r="T258" s="427"/>
      <c r="U258" s="427"/>
      <c r="V258" s="427"/>
    </row>
    <row r="259" spans="20:22">
      <c r="T259" s="427"/>
      <c r="U259" s="427"/>
      <c r="V259" s="427"/>
    </row>
    <row r="260" spans="20:22">
      <c r="T260" s="427"/>
      <c r="U260" s="427"/>
      <c r="V260" s="427"/>
    </row>
    <row r="261" spans="20:22">
      <c r="T261" s="427"/>
      <c r="U261" s="427"/>
      <c r="V261" s="427"/>
    </row>
    <row r="262" spans="20:22">
      <c r="T262" s="427"/>
      <c r="U262" s="427"/>
      <c r="V262" s="427"/>
    </row>
    <row r="263" spans="20:22">
      <c r="T263" s="427"/>
      <c r="U263" s="427"/>
      <c r="V263" s="427"/>
    </row>
    <row r="264" spans="20:22">
      <c r="T264" s="427"/>
      <c r="U264" s="427"/>
      <c r="V264" s="427"/>
    </row>
    <row r="265" spans="20:22">
      <c r="T265" s="427"/>
      <c r="U265" s="427"/>
      <c r="V265" s="427"/>
    </row>
    <row r="266" spans="20:22">
      <c r="T266" s="427"/>
      <c r="U266" s="427"/>
      <c r="V266" s="427"/>
    </row>
    <row r="267" spans="20:22">
      <c r="T267" s="427"/>
      <c r="U267" s="427"/>
      <c r="V267" s="427"/>
    </row>
    <row r="268" spans="20:22">
      <c r="T268" s="427"/>
      <c r="U268" s="427"/>
      <c r="V268" s="427"/>
    </row>
    <row r="269" spans="20:22">
      <c r="T269" s="427"/>
      <c r="U269" s="427"/>
      <c r="V269" s="427"/>
    </row>
    <row r="270" spans="20:22">
      <c r="T270" s="427"/>
      <c r="U270" s="427"/>
      <c r="V270" s="427"/>
    </row>
    <row r="271" spans="20:22">
      <c r="T271" s="427"/>
      <c r="U271" s="427"/>
      <c r="V271" s="427"/>
    </row>
    <row r="272" spans="20:22">
      <c r="T272" s="427"/>
      <c r="U272" s="427"/>
      <c r="V272" s="427"/>
    </row>
    <row r="273" spans="20:22">
      <c r="T273" s="427"/>
      <c r="U273" s="427"/>
      <c r="V273" s="427"/>
    </row>
    <row r="274" spans="20:22">
      <c r="T274" s="427"/>
      <c r="U274" s="427"/>
      <c r="V274" s="427"/>
    </row>
    <row r="275" spans="20:22">
      <c r="T275" s="427"/>
      <c r="U275" s="427"/>
      <c r="V275" s="427"/>
    </row>
    <row r="276" spans="20:22">
      <c r="T276" s="427"/>
      <c r="U276" s="427"/>
      <c r="V276" s="427"/>
    </row>
    <row r="277" spans="20:22">
      <c r="T277" s="427"/>
      <c r="U277" s="427"/>
      <c r="V277" s="427"/>
    </row>
    <row r="278" spans="20:22">
      <c r="T278" s="427"/>
      <c r="U278" s="427"/>
      <c r="V278" s="427"/>
    </row>
    <row r="279" spans="20:22">
      <c r="T279" s="427"/>
      <c r="U279" s="427"/>
      <c r="V279" s="427"/>
    </row>
    <row r="280" spans="20:22">
      <c r="T280" s="427"/>
      <c r="U280" s="427"/>
      <c r="V280" s="427"/>
    </row>
    <row r="281" spans="20:22">
      <c r="T281" s="427"/>
      <c r="U281" s="427"/>
      <c r="V281" s="427"/>
    </row>
    <row r="282" spans="20:22">
      <c r="T282" s="427"/>
      <c r="U282" s="427"/>
      <c r="V282" s="427"/>
    </row>
    <row r="283" spans="20:22">
      <c r="T283" s="427"/>
      <c r="U283" s="427"/>
      <c r="V283" s="427"/>
    </row>
    <row r="284" spans="20:22">
      <c r="T284" s="427"/>
      <c r="U284" s="427"/>
      <c r="V284" s="427"/>
    </row>
    <row r="285" spans="20:22">
      <c r="T285" s="427"/>
      <c r="U285" s="427"/>
      <c r="V285" s="427"/>
    </row>
    <row r="286" spans="20:22">
      <c r="T286" s="427"/>
      <c r="U286" s="427"/>
      <c r="V286" s="427"/>
    </row>
    <row r="287" spans="20:22">
      <c r="T287" s="427"/>
      <c r="U287" s="427"/>
      <c r="V287" s="427"/>
    </row>
    <row r="288" spans="20:22">
      <c r="T288" s="427"/>
      <c r="U288" s="427"/>
      <c r="V288" s="427"/>
    </row>
    <row r="289" spans="20:22">
      <c r="T289" s="427"/>
      <c r="U289" s="427"/>
      <c r="V289" s="427"/>
    </row>
    <row r="290" spans="20:22"/>
    <row r="291" spans="20:22"/>
    <row r="292" spans="20:22"/>
    <row r="293" spans="20:22"/>
    <row r="294" spans="20:22"/>
    <row r="295" spans="20:22"/>
    <row r="296" spans="20:22"/>
    <row r="297" spans="20:22"/>
    <row r="298" spans="20:22"/>
    <row r="299" spans="20:22"/>
    <row r="300" spans="20:22"/>
    <row r="301" spans="20:22"/>
    <row r="302" spans="20:22"/>
    <row r="303" spans="20:22"/>
    <row r="304" spans="20:22"/>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sheetData>
  <sheetProtection sheet="1" objects="1" scenarios="1" selectLockedCells="1"/>
  <mergeCells count="16">
    <mergeCell ref="B139:B143"/>
    <mergeCell ref="B144:B148"/>
    <mergeCell ref="B149:B160"/>
    <mergeCell ref="B118:B128"/>
    <mergeCell ref="B9:B21"/>
    <mergeCell ref="B22:B50"/>
    <mergeCell ref="B129:B133"/>
    <mergeCell ref="B134:B138"/>
    <mergeCell ref="B112:B117"/>
    <mergeCell ref="D1:E1"/>
    <mergeCell ref="B3:B8"/>
    <mergeCell ref="B51:B60"/>
    <mergeCell ref="B94:B100"/>
    <mergeCell ref="B106:B111"/>
    <mergeCell ref="B101:B105"/>
    <mergeCell ref="B61:B93"/>
  </mergeCells>
  <phoneticPr fontId="14"/>
  <dataValidations count="2">
    <dataValidation type="list" allowBlank="1" showErrorMessage="1" sqref="E92:E160 E8:E81 P3:P160 M3:M160">
      <formula1>単位</formula1>
      <formula2>0</formula2>
    </dataValidation>
    <dataValidation type="list" allowBlank="1" showInputMessage="1" showErrorMessage="1" sqref="E3:E7">
      <formula1>単位</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cellComments="asDisplayed" useFirstPageNumber="1" verticalDpi="300" r:id="rId1"/>
  <headerFooter alignWithMargins="0">
    <oddHeader>&amp;L&amp;D&amp;F &amp;A</oddHeader>
    <oddFooter>&amp;C&amp;14&amp;P/&amp;N</oddFooter>
  </headerFooter>
  <ignoredErrors>
    <ignoredError sqref="J52 J58" formula="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16"/>
  <sheetViews>
    <sheetView workbookViewId="0">
      <selection activeCell="C8" sqref="C8"/>
    </sheetView>
  </sheetViews>
  <sheetFormatPr defaultRowHeight="13.5"/>
  <cols>
    <col min="3" max="3" width="9.875" bestFit="1" customWidth="1"/>
    <col min="4" max="4" width="30.5" bestFit="1" customWidth="1"/>
  </cols>
  <sheetData>
    <row r="3" spans="3:4">
      <c r="C3" s="271" t="s">
        <v>398</v>
      </c>
      <c r="D3" s="273"/>
    </row>
    <row r="4" spans="3:4">
      <c r="C4" s="275"/>
      <c r="D4" s="273" t="s">
        <v>399</v>
      </c>
    </row>
    <row r="5" spans="3:4">
      <c r="C5" s="276"/>
      <c r="D5" s="273" t="s">
        <v>400</v>
      </c>
    </row>
    <row r="6" spans="3:4">
      <c r="C6" s="273"/>
      <c r="D6" s="273" t="s">
        <v>401</v>
      </c>
    </row>
    <row r="13" spans="3:4">
      <c r="C13" s="271" t="s">
        <v>394</v>
      </c>
      <c r="D13" s="271" t="s">
        <v>393</v>
      </c>
    </row>
    <row r="14" spans="3:4">
      <c r="C14" s="272"/>
      <c r="D14" s="273" t="s">
        <v>395</v>
      </c>
    </row>
    <row r="15" spans="3:4">
      <c r="C15" s="274"/>
      <c r="D15" s="273" t="s">
        <v>396</v>
      </c>
    </row>
    <row r="16" spans="3:4">
      <c r="C16" s="273"/>
      <c r="D16" s="273" t="s">
        <v>397</v>
      </c>
    </row>
  </sheetData>
  <phoneticPr fontId="1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経営収支</vt:lpstr>
      <vt:lpstr>作業体系表</vt:lpstr>
      <vt:lpstr>Z-BFM</vt:lpstr>
      <vt:lpstr>①技術体系</vt:lpstr>
      <vt:lpstr>②償却資産</vt:lpstr>
      <vt:lpstr>③労働時間</vt:lpstr>
      <vt:lpstr>④収入</vt:lpstr>
      <vt:lpstr>⑤支出</vt:lpstr>
      <vt:lpstr>凡例</vt:lpstr>
      <vt:lpstr>科目設定</vt:lpstr>
      <vt:lpstr>'Z-BFM'!EI_back</vt:lpstr>
      <vt:lpstr>'Z-BFM'!EI_choice</vt:lpstr>
      <vt:lpstr>'Z-BFM'!EI_expense</vt:lpstr>
      <vt:lpstr>'Z-BFM'!EI_front</vt:lpstr>
      <vt:lpstr>'Z-BFM'!EI_landcoef</vt:lpstr>
      <vt:lpstr>'Z-BFM'!EI_landuse</vt:lpstr>
      <vt:lpstr>'Z-BFM'!EI_outline</vt:lpstr>
      <vt:lpstr>'Z-BFM'!EI_profit</vt:lpstr>
      <vt:lpstr>'Z-BFM'!EI_return</vt:lpstr>
      <vt:lpstr>Excel_BuiltIn__FilterDatabase_3</vt:lpstr>
      <vt:lpstr>①技術体系!Print_Area</vt:lpstr>
      <vt:lpstr>③労働時間!Print_Area</vt:lpstr>
      <vt:lpstr>④収入!Print_Area</vt:lpstr>
      <vt:lpstr>⑤支出!Print_Area</vt:lpstr>
      <vt:lpstr>科目設定!Print_Area</vt:lpstr>
      <vt:lpstr>作業体系表!Print_Area</vt:lpstr>
      <vt:lpstr>①技術体系!Print_Titles</vt:lpstr>
      <vt:lpstr>③労働時間!Print_Titles</vt:lpstr>
      <vt:lpstr>⑤支出!Print_Titles</vt:lpstr>
      <vt:lpstr>アメダスポイント名</vt:lpstr>
      <vt:lpstr>科目</vt:lpstr>
      <vt:lpstr>管理費用</vt:lpstr>
      <vt:lpstr>機械</vt:lpstr>
      <vt:lpstr>機械能力</vt:lpstr>
      <vt:lpstr>月旬</vt:lpstr>
      <vt:lpstr>固定区分</vt:lpstr>
      <vt:lpstr>雇用労働費</vt:lpstr>
      <vt:lpstr>作業名</vt:lpstr>
      <vt:lpstr>種苗費</vt:lpstr>
      <vt:lpstr>諸材料費</vt:lpstr>
      <vt:lpstr>植付本数</vt:lpstr>
      <vt:lpstr>粗収益</vt:lpstr>
      <vt:lpstr>想定面積</vt:lpstr>
      <vt:lpstr>単位</vt:lpstr>
      <vt:lpstr>賃借料・利用料</vt:lpstr>
      <vt:lpstr>土地改良・水利費</vt:lpstr>
      <vt:lpstr>動力・光熱費</vt:lpstr>
      <vt:lpstr>燃料種類</vt:lpstr>
      <vt:lpstr>農業薬剤費</vt:lpstr>
      <vt:lpstr>農具費</vt:lpstr>
      <vt:lpstr>販売費用</vt:lpstr>
      <vt:lpstr>肥料費</vt:lpstr>
      <vt:lpstr>本</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2018-02-11T06:24:46Z</cp:lastPrinted>
  <dcterms:created xsi:type="dcterms:W3CDTF">2008-10-27T01:58:08Z</dcterms:created>
  <dcterms:modified xsi:type="dcterms:W3CDTF">2018-02-11T06:24:52Z</dcterms:modified>
</cp:coreProperties>
</file>